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Start Here" state="visible" r:id="rId4"/>
    <sheet sheetId="2" name="Customers" state="visible" r:id="rId5"/>
    <sheet sheetId="3" name="Whale Curve" state="visible" r:id="rId6"/>
  </sheets>
  <calcPr calcId="171027" fullCalcOnLoad="1"/>
</workbook>
</file>

<file path=xl/sharedStrings.xml><?xml version="1.0" encoding="utf-8"?>
<sst xmlns="http://schemas.openxmlformats.org/spreadsheetml/2006/main" count="37" uniqueCount="35">
  <si>
    <t>CUSTOMER WHALE CURVE WORKBOOK</t>
  </si>
  <si>
    <t>Helm Advisory  ·  helm-advisory.com</t>
  </si>
  <si>
    <t>What this is</t>
  </si>
  <si>
    <t>Rank your customers by what each one actually contributes, and the same shape appears in almost every business: a band of customers carries the profit, a long tail adds little, and a few subtract from it. The cumulative line rises past your total profit, peaks, then gives ground back. That giveback is money you already earned and then handed to your worst accounts.</t>
  </si>
  <si>
    <t>Yellow cells are inputs. Everything else calculates. Two working tabs: Customers, then Whale Curve.</t>
  </si>
  <si>
    <t>How to use it (about an hour with your data)</t>
  </si>
  <si>
    <t>1.  On the Customers tab, paste up to 200 customers: name, annual revenue, direct costs of serving them (their COGS or job costs).</t>
  </si>
  <si>
    <t>2.  Add cost-to-serve if you can estimate it: freight you eat, returns, special handling, unusual support or terms. Rough beats blank; even a simple allocation exposes the tail.</t>
  </si>
  <si>
    <t>3.  Read the Whale Curve tab top to bottom. The summary shows total contribution, the peak (what you would earn with no loss-makers), the drag, and how concentrated the top is.</t>
  </si>
  <si>
    <t>4.  Act on the ends. The top band gets protected: service, attention, retention. The negative tail gets a price that reflects reality, a cheaper service model, or a respectful exit.</t>
  </si>
  <si>
    <t>The honest caveats</t>
  </si>
  <si>
    <t>Contribution here is revenue minus the costs you entered; it is only as good as your cost-to-serve estimates. And a negative customer is not automatically a fire-them customer: check for strategic volume that absorbs fixed cost before acting. The curve tells you where to look, not what to decide.</t>
  </si>
  <si>
    <t>This is the analysis behind our published case studies at helm-advisory.com/case-studies. If you want it run properly against your books, start a conversation at helm-advisory.com.</t>
  </si>
  <si>
    <t>CUSTOMER DATA</t>
  </si>
  <si>
    <t>Paste from your system. Blank rows are fine; the curve ignores them.</t>
  </si>
  <si>
    <t>Customer</t>
  </si>
  <si>
    <t>Annual revenue</t>
  </si>
  <si>
    <t>Direct costs</t>
  </si>
  <si>
    <t>Cost to serve (optional)</t>
  </si>
  <si>
    <t>Contribution</t>
  </si>
  <si>
    <t>adj</t>
  </si>
  <si>
    <t>TOTALS</t>
  </si>
  <si>
    <t>THE WHALE CURVE: EVERY CUSTOMER, RANKED BY WHAT IT EARNS</t>
  </si>
  <si>
    <t>Calculated from the Customers tab. Negative customers show in red; the cumulative column is the curve.</t>
  </si>
  <si>
    <t>Customers entered</t>
  </si>
  <si>
    <t>Total contribution (what you keep today)</t>
  </si>
  <si>
    <t>Peak of the curve (profit with no loss-makers)</t>
  </si>
  <si>
    <t>The drag: profit handed back to the tail</t>
  </si>
  <si>
    <t>Customers that subtract profit</t>
  </si>
  <si>
    <t>Share of contribution from the top 20% of accounts</t>
  </si>
  <si>
    <t>Rank</t>
  </si>
  <si>
    <t>Revenue</t>
  </si>
  <si>
    <t>Margin %</t>
  </si>
  <si>
    <t>Cumulative</t>
  </si>
  <si>
    <t>Cumulative % of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</si>
</sst>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Red]($#,##0)"/>
    <numFmt numFmtId="165" formatCode="0.0%"/>
  </numFmts>
  <fonts count="10" x14ac:knownFonts="1">
    <font>
      <color theme="1"/>
      <family val="2"/>
      <scheme val="minor"/>
      <sz val="11"/>
      <name val="Calibri"/>
    </font>
    <font>
      <b/>
      <color rgb="FFFFFFFF"/>
      <sz val="18"/>
      <name val="Calibri"/>
    </font>
    <font>
      <color rgb="FF5A6B7A"/>
      <sz val="10"/>
      <name val="Calibri"/>
    </font>
    <font>
      <b/>
      <color rgb="FF042C53"/>
      <sz val="13"/>
      <name val="Calibri"/>
    </font>
    <font>
      <color rgb="FF1F2D3A"/>
      <sz val="11"/>
      <name val="Calibri"/>
    </font>
    <font>
      <b/>
      <color rgb="FFFFFFFF"/>
      <sz val="14"/>
      <name val="Calibri"/>
    </font>
    <font>
      <i/>
      <color rgb="FF5A6B7A"/>
      <sz val="9"/>
      <name val="Calibri"/>
    </font>
    <font>
      <b/>
      <color rgb="FF042C53"/>
      <sz val="10"/>
      <name val="Calibri"/>
    </font>
    <font>
      <b/>
      <color rgb="FF042C53"/>
      <sz val="11"/>
      <name val="Calibri"/>
    </font>
    <font>
      <b/>
      <color rgb="FF8C2B18"/>
      <sz val="11"/>
      <name val="Calibri"/>
    </font>
  </fonts>
  <fills count="6">
    <fill>
      <patternFill patternType="none"/>
    </fill>
    <fill>
      <patternFill patternType="gray125"/>
    </fill>
    <fill>
      <patternFill patternType="solid">
        <fgColor rgb="FF042C53"/>
      </patternFill>
    </fill>
    <fill>
      <patternFill patternType="solid">
        <fgColor rgb="FFEAF2FA"/>
      </patternFill>
    </fill>
    <fill>
      <patternFill patternType="solid">
        <fgColor rgb="FFFFF2CC"/>
      </patternFill>
    </fill>
    <fill>
      <patternFill patternType="solid">
        <fgColor rgb="FFFFE1B8"/>
      </patternFill>
    </fill>
  </fills>
  <borders count="4">
    <border>
      <left/>
      <right/>
      <top/>
      <bottom/>
      <diagonal/>
    </border>
    <border>
      <left/>
      <right/>
      <top/>
      <bottom style="thin">
        <color rgb="FF042C53"/>
      </bottom>
      <diagonal/>
    </border>
    <border>
      <left style="thin">
        <color rgb="FFC9D4DE"/>
      </left>
      <right style="thin">
        <color rgb="FFC9D4DE"/>
      </right>
      <top style="thin">
        <color rgb="FFC9D4DE"/>
      </top>
      <bottom style="thin">
        <color rgb="FFC9D4DE"/>
      </bottom>
      <diagonal/>
    </border>
    <border>
      <left/>
      <right/>
      <top style="thin">
        <color rgb="FF042C53"/>
      </top>
      <bottom/>
      <diagonal/>
    </border>
  </borders>
  <cellStyleXfs count="1">
    <xf numFmtId="0" fontId="0" fillId="0" borderId="0"/>
  </cellStyleXfs>
  <cellXfs count="21">
    <xf numFmtId="0" fontId="0" fillId="0" borderId="0" xfId="0"/>
    <xf numFmtId="0" fontId="1" fillId="2" borderId="0" xfId="0" applyFont="1" applyFill="1" applyAlignment="1">
      <alignment vertical="center" indent="1"/>
    </xf>
    <xf numFmtId="0" fontId="2" fillId="0" borderId="0" xfId="0" applyFont="1"/>
    <xf numFmtId="0" fontId="3" fillId="0" borderId="0" xfId="0" applyFont="1"/>
    <xf numFmtId="0" fontId="4" fillId="0" borderId="0" xfId="0" applyFont="1" applyAlignment="1">
      <alignment vertical="top" wrapText="1"/>
    </xf>
    <xf numFmtId="0" fontId="5" fillId="2" borderId="0" xfId="0" applyFont="1" applyFill="1" applyAlignment="1">
      <alignment vertical="center" indent="1"/>
    </xf>
    <xf numFmtId="0" fontId="6" fillId="0" borderId="0" xfId="0" applyFont="1" applyAlignment="1">
      <alignment vertical="center" indent="1"/>
    </xf>
    <xf numFmtId="0" fontId="7" fillId="3" borderId="1" xfId="0" applyFont="1" applyFill="1" applyBorder="1"/>
    <xf numFmtId="0" fontId="0" fillId="4" borderId="2" xfId="0" applyFill="1" applyBorder="1"/>
    <xf numFmtId="164" fontId="0" fillId="4" borderId="2" xfId="0" applyNumberFormat="1" applyFill="1" applyBorder="1"/>
    <xf numFmtId="164" fontId="0" fillId="0" borderId="0" xfId="0" applyNumberFormat="1"/>
    <xf numFmtId="0" fontId="8" fillId="0" borderId="0" xfId="0" applyFont="1" applyAlignment="1">
      <alignment vertical="center" indent="1"/>
    </xf>
    <xf numFmtId="164" fontId="8" fillId="0" borderId="3" xfId="0" applyNumberFormat="1" applyFont="1" applyBorder="1"/>
    <xf numFmtId="0" fontId="4" fillId="0" borderId="0" xfId="0" applyFont="1" applyAlignment="1">
      <alignment vertical="center" indent="1"/>
    </xf>
    <xf numFmtId="3" fontId="8" fillId="0" borderId="0" xfId="0" applyNumberFormat="1" applyFont="1"/>
    <xf numFmtId="164" fontId="8" fillId="0" borderId="0" xfId="0" applyNumberFormat="1" applyFont="1"/>
    <xf numFmtId="0" fontId="9" fillId="5" borderId="0" xfId="0" applyFont="1" applyFill="1" applyAlignment="1">
      <alignment vertical="center" indent="1"/>
    </xf>
    <xf numFmtId="164" fontId="9" fillId="5" borderId="0" xfId="0" applyNumberFormat="1" applyFont="1" applyFill="1"/>
    <xf numFmtId="165" fontId="8" fillId="0" borderId="0" xfId="0" applyNumberFormat="1" applyFont="1"/>
    <xf numFmtId="0" fontId="7" fillId="3" borderId="1" xfId="0" applyFont="1" applyFill="1" applyBorder="1" applyAlignment="1">
      <alignment vertical="center" wrapText="1"/>
    </xf>
    <xf numFmtId="165" fontId="0" fillId="0" borderId="0" xfId="0" applyNumberFormat="1"/>
  </cellXfs>
  <cellStyles count="1">
    <cellStyle name="Normal" xfId="0" builtinId="0"/>
  </cellStyles>
  <dxfs count="1">
    <dxf>
      <font>
        <b/>
        <color rgb="FF8C2B18"/>
      </font>
      <fill>
        <patternFill patternType="solid">
          <bgColor rgb="FFF8D0C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showGridLines="0"/>
  </sheetViews>
  <sheetFormatPr defaultRowHeight="15" outlineLevelRow="0" outlineLevelCol="0" x14ac:dyDescent="55"/>
  <cols>
    <col min="1" max="1" width="3" customWidth="1"/>
    <col min="2" max="2" width="96" customWidth="1"/>
  </cols>
  <sheetData>
    <row r="1" ht="34" customHeight="1" spans="1:3" x14ac:dyDescent="0.25">
      <c r="A1" s="1" t="s">
        <v>0</v>
      </c>
      <c r="B1" s="1"/>
      <c r="C1" s="1"/>
    </row>
    <row r="2" spans="2:2" x14ac:dyDescent="0.25">
      <c r="B2" s="2" t="s">
        <v>1</v>
      </c>
    </row>
    <row r="4" spans="2:2" x14ac:dyDescent="0.25">
      <c r="B4" s="3" t="s">
        <v>2</v>
      </c>
    </row>
    <row r="5" ht="42" customHeight="1" spans="2:2" x14ac:dyDescent="0.25">
      <c r="B5" s="4" t="s">
        <v>3</v>
      </c>
    </row>
    <row r="6" ht="30" customHeight="1" spans="2:2" x14ac:dyDescent="0.25">
      <c r="B6" s="4" t="s">
        <v>4</v>
      </c>
    </row>
    <row r="8" spans="2:2" x14ac:dyDescent="0.25">
      <c r="B8" s="3" t="s">
        <v>5</v>
      </c>
    </row>
    <row r="9" ht="42" customHeight="1" spans="2:2" x14ac:dyDescent="0.25">
      <c r="B9" s="4" t="s">
        <v>6</v>
      </c>
    </row>
    <row r="10" ht="42" customHeight="1" spans="2:2" x14ac:dyDescent="0.25">
      <c r="B10" s="4" t="s">
        <v>7</v>
      </c>
    </row>
    <row r="11" ht="42" customHeight="1" spans="2:2" x14ac:dyDescent="0.25">
      <c r="B11" s="4" t="s">
        <v>8</v>
      </c>
    </row>
    <row r="12" ht="42" customHeight="1" spans="2:2" x14ac:dyDescent="0.25">
      <c r="B12" s="4" t="s">
        <v>9</v>
      </c>
    </row>
    <row r="14" spans="2:2" x14ac:dyDescent="0.25">
      <c r="B14" s="3" t="s">
        <v>10</v>
      </c>
    </row>
    <row r="15" ht="42" customHeight="1" spans="2:2" x14ac:dyDescent="0.25">
      <c r="B15" s="4" t="s">
        <v>11</v>
      </c>
    </row>
    <row r="16" ht="42" customHeight="1" spans="2:2" x14ac:dyDescent="0.25">
      <c r="B16" s="4" t="s">
        <v>12</v>
      </c>
    </row>
  </sheetData>
  <mergeCells count="1">
    <mergeCell ref="A1:C1"/>
  </mergeCells>
  <pageMargins left="0.7" right="0.7" top="0.75" bottom="0.75" header="0.3" footer="0.3"/>
  <pageSetup orientation="portrait"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6"/>
  <sheetViews>
    <sheetView workbookViewId="0" showGridLines="0">
      <pane ySplit="4" topLeftCell="A5" activePane="bottomLeft" state="frozen"/>
      <selection pane="bottomLeft"/>
    </sheetView>
  </sheetViews>
  <sheetFormatPr defaultRowHeight="15" outlineLevelRow="0" outlineLevelCol="0" x14ac:dyDescent="55"/>
  <cols>
    <col min="1" max="1" width="30" customWidth="1"/>
    <col min="2" max="5" width="15" customWidth="1"/>
    <col min="6" max="6" width="12" hidden="1" customWidth="1"/>
  </cols>
  <sheetData>
    <row r="1" ht="26" customHeight="1" spans="1:6" x14ac:dyDescent="0.25">
      <c r="A1" s="5" t="s">
        <v>13</v>
      </c>
      <c r="B1" s="5"/>
      <c r="C1" s="5"/>
      <c r="D1" s="5"/>
      <c r="E1" s="5"/>
      <c r="F1" s="5"/>
    </row>
    <row r="2" spans="1:1" x14ac:dyDescent="0.25">
      <c r="A2" s="6" t="s">
        <v>14</v>
      </c>
    </row>
    <row r="4" spans="1:6" x14ac:dyDescent="0.25">
      <c r="A4" s="7" t="s">
        <v>15</v>
      </c>
      <c r="B4" s="7" t="s">
        <v>16</v>
      </c>
      <c r="C4" s="7" t="s">
        <v>17</v>
      </c>
      <c r="D4" s="7" t="s">
        <v>18</v>
      </c>
      <c r="E4" s="7" t="s">
        <v>19</v>
      </c>
      <c r="F4" s="7" t="s">
        <v>20</v>
      </c>
    </row>
    <row r="5" spans="1:6" x14ac:dyDescent="0.25">
      <c r="A5" s="8"/>
      <c r="B5" s="9"/>
      <c r="C5" s="9"/>
      <c r="D5" s="9"/>
      <c r="E5" s="10">
        <f>IF(A5="","",B5-C5-D5)</f>
      </c>
      <c r="F5">
        <f>IF(A5="","",E5+ROW()/10000000)</f>
      </c>
    </row>
    <row r="6" spans="1:6" x14ac:dyDescent="0.25">
      <c r="A6" s="8"/>
      <c r="B6" s="9"/>
      <c r="C6" s="9"/>
      <c r="D6" s="9"/>
      <c r="E6" s="10">
        <f>IF(A6="","",B6-C6-D6)</f>
      </c>
      <c r="F6">
        <f>IF(A6="","",E6+ROW()/10000000)</f>
      </c>
    </row>
    <row r="7" spans="1:6" x14ac:dyDescent="0.25">
      <c r="A7" s="8"/>
      <c r="B7" s="9"/>
      <c r="C7" s="9"/>
      <c r="D7" s="9"/>
      <c r="E7" s="10">
        <f>IF(A7="","",B7-C7-D7)</f>
      </c>
      <c r="F7">
        <f>IF(A7="","",E7+ROW()/10000000)</f>
      </c>
    </row>
    <row r="8" spans="1:6" x14ac:dyDescent="0.25">
      <c r="A8" s="8"/>
      <c r="B8" s="9"/>
      <c r="C8" s="9"/>
      <c r="D8" s="9"/>
      <c r="E8" s="10">
        <f>IF(A8="","",B8-C8-D8)</f>
      </c>
      <c r="F8">
        <f>IF(A8="","",E8+ROW()/10000000)</f>
      </c>
    </row>
    <row r="9" spans="1:6" x14ac:dyDescent="0.25">
      <c r="A9" s="8"/>
      <c r="B9" s="9"/>
      <c r="C9" s="9"/>
      <c r="D9" s="9"/>
      <c r="E9" s="10">
        <f>IF(A9="","",B9-C9-D9)</f>
      </c>
      <c r="F9">
        <f>IF(A9="","",E9+ROW()/10000000)</f>
      </c>
    </row>
    <row r="10" spans="1:6" x14ac:dyDescent="0.25">
      <c r="A10" s="8"/>
      <c r="B10" s="9"/>
      <c r="C10" s="9"/>
      <c r="D10" s="9"/>
      <c r="E10" s="10">
        <f>IF(A10="","",B10-C10-D10)</f>
      </c>
      <c r="F10">
        <f>IF(A10="","",E10+ROW()/10000000)</f>
      </c>
    </row>
    <row r="11" spans="1:6" x14ac:dyDescent="0.25">
      <c r="A11" s="8"/>
      <c r="B11" s="9"/>
      <c r="C11" s="9"/>
      <c r="D11" s="9"/>
      <c r="E11" s="10">
        <f>IF(A11="","",B11-C11-D11)</f>
      </c>
      <c r="F11">
        <f>IF(A11="","",E11+ROW()/10000000)</f>
      </c>
    </row>
    <row r="12" spans="1:6" x14ac:dyDescent="0.25">
      <c r="A12" s="8"/>
      <c r="B12" s="9"/>
      <c r="C12" s="9"/>
      <c r="D12" s="9"/>
      <c r="E12" s="10">
        <f>IF(A12="","",B12-C12-D12)</f>
      </c>
      <c r="F12">
        <f>IF(A12="","",E12+ROW()/10000000)</f>
      </c>
    </row>
    <row r="13" spans="1:6" x14ac:dyDescent="0.25">
      <c r="A13" s="8"/>
      <c r="B13" s="9"/>
      <c r="C13" s="9"/>
      <c r="D13" s="9"/>
      <c r="E13" s="10">
        <f>IF(A13="","",B13-C13-D13)</f>
      </c>
      <c r="F13">
        <f>IF(A13="","",E13+ROW()/10000000)</f>
      </c>
    </row>
    <row r="14" spans="1:6" x14ac:dyDescent="0.25">
      <c r="A14" s="8"/>
      <c r="B14" s="9"/>
      <c r="C14" s="9"/>
      <c r="D14" s="9"/>
      <c r="E14" s="10">
        <f>IF(A14="","",B14-C14-D14)</f>
      </c>
      <c r="F14">
        <f>IF(A14="","",E14+ROW()/10000000)</f>
      </c>
    </row>
    <row r="15" spans="1:6" x14ac:dyDescent="0.25">
      <c r="A15" s="8"/>
      <c r="B15" s="9"/>
      <c r="C15" s="9"/>
      <c r="D15" s="9"/>
      <c r="E15" s="10">
        <f>IF(A15="","",B15-C15-D15)</f>
      </c>
      <c r="F15">
        <f>IF(A15="","",E15+ROW()/10000000)</f>
      </c>
    </row>
    <row r="16" spans="1:6" x14ac:dyDescent="0.25">
      <c r="A16" s="8"/>
      <c r="B16" s="9"/>
      <c r="C16" s="9"/>
      <c r="D16" s="9"/>
      <c r="E16" s="10">
        <f>IF(A16="","",B16-C16-D16)</f>
      </c>
      <c r="F16">
        <f>IF(A16="","",E16+ROW()/10000000)</f>
      </c>
    </row>
    <row r="17" spans="1:6" x14ac:dyDescent="0.25">
      <c r="A17" s="8"/>
      <c r="B17" s="9"/>
      <c r="C17" s="9"/>
      <c r="D17" s="9"/>
      <c r="E17" s="10">
        <f>IF(A17="","",B17-C17-D17)</f>
      </c>
      <c r="F17">
        <f>IF(A17="","",E17+ROW()/10000000)</f>
      </c>
    </row>
    <row r="18" spans="1:6" x14ac:dyDescent="0.25">
      <c r="A18" s="8"/>
      <c r="B18" s="9"/>
      <c r="C18" s="9"/>
      <c r="D18" s="9"/>
      <c r="E18" s="10">
        <f>IF(A18="","",B18-C18-D18)</f>
      </c>
      <c r="F18">
        <f>IF(A18="","",E18+ROW()/10000000)</f>
      </c>
    </row>
    <row r="19" spans="1:6" x14ac:dyDescent="0.25">
      <c r="A19" s="8"/>
      <c r="B19" s="9"/>
      <c r="C19" s="9"/>
      <c r="D19" s="9"/>
      <c r="E19" s="10">
        <f>IF(A19="","",B19-C19-D19)</f>
      </c>
      <c r="F19">
        <f>IF(A19="","",E19+ROW()/10000000)</f>
      </c>
    </row>
    <row r="20" spans="1:6" x14ac:dyDescent="0.25">
      <c r="A20" s="8"/>
      <c r="B20" s="9"/>
      <c r="C20" s="9"/>
      <c r="D20" s="9"/>
      <c r="E20" s="10">
        <f>IF(A20="","",B20-C20-D20)</f>
      </c>
      <c r="F20">
        <f>IF(A20="","",E20+ROW()/10000000)</f>
      </c>
    </row>
    <row r="21" spans="1:6" x14ac:dyDescent="0.25">
      <c r="A21" s="8"/>
      <c r="B21" s="9"/>
      <c r="C21" s="9"/>
      <c r="D21" s="9"/>
      <c r="E21" s="10">
        <f>IF(A21="","",B21-C21-D21)</f>
      </c>
      <c r="F21">
        <f>IF(A21="","",E21+ROW()/10000000)</f>
      </c>
    </row>
    <row r="22" spans="1:6" x14ac:dyDescent="0.25">
      <c r="A22" s="8"/>
      <c r="B22" s="9"/>
      <c r="C22" s="9"/>
      <c r="D22" s="9"/>
      <c r="E22" s="10">
        <f>IF(A22="","",B22-C22-D22)</f>
      </c>
      <c r="F22">
        <f>IF(A22="","",E22+ROW()/10000000)</f>
      </c>
    </row>
    <row r="23" spans="1:6" x14ac:dyDescent="0.25">
      <c r="A23" s="8"/>
      <c r="B23" s="9"/>
      <c r="C23" s="9"/>
      <c r="D23" s="9"/>
      <c r="E23" s="10">
        <f>IF(A23="","",B23-C23-D23)</f>
      </c>
      <c r="F23">
        <f>IF(A23="","",E23+ROW()/10000000)</f>
      </c>
    </row>
    <row r="24" spans="1:6" x14ac:dyDescent="0.25">
      <c r="A24" s="8"/>
      <c r="B24" s="9"/>
      <c r="C24" s="9"/>
      <c r="D24" s="9"/>
      <c r="E24" s="10">
        <f>IF(A24="","",B24-C24-D24)</f>
      </c>
      <c r="F24">
        <f>IF(A24="","",E24+ROW()/10000000)</f>
      </c>
    </row>
    <row r="25" spans="1:6" x14ac:dyDescent="0.25">
      <c r="A25" s="8"/>
      <c r="B25" s="9"/>
      <c r="C25" s="9"/>
      <c r="D25" s="9"/>
      <c r="E25" s="10">
        <f>IF(A25="","",B25-C25-D25)</f>
      </c>
      <c r="F25">
        <f>IF(A25="","",E25+ROW()/10000000)</f>
      </c>
    </row>
    <row r="26" spans="1:6" x14ac:dyDescent="0.25">
      <c r="A26" s="8"/>
      <c r="B26" s="9"/>
      <c r="C26" s="9"/>
      <c r="D26" s="9"/>
      <c r="E26" s="10">
        <f>IF(A26="","",B26-C26-D26)</f>
      </c>
      <c r="F26">
        <f>IF(A26="","",E26+ROW()/10000000)</f>
      </c>
    </row>
    <row r="27" spans="1:6" x14ac:dyDescent="0.25">
      <c r="A27" s="8"/>
      <c r="B27" s="9"/>
      <c r="C27" s="9"/>
      <c r="D27" s="9"/>
      <c r="E27" s="10">
        <f>IF(A27="","",B27-C27-D27)</f>
      </c>
      <c r="F27">
        <f>IF(A27="","",E27+ROW()/10000000)</f>
      </c>
    </row>
    <row r="28" spans="1:6" x14ac:dyDescent="0.25">
      <c r="A28" s="8"/>
      <c r="B28" s="9"/>
      <c r="C28" s="9"/>
      <c r="D28" s="9"/>
      <c r="E28" s="10">
        <f>IF(A28="","",B28-C28-D28)</f>
      </c>
      <c r="F28">
        <f>IF(A28="","",E28+ROW()/10000000)</f>
      </c>
    </row>
    <row r="29" spans="1:6" x14ac:dyDescent="0.25">
      <c r="A29" s="8"/>
      <c r="B29" s="9"/>
      <c r="C29" s="9"/>
      <c r="D29" s="9"/>
      <c r="E29" s="10">
        <f>IF(A29="","",B29-C29-D29)</f>
      </c>
      <c r="F29">
        <f>IF(A29="","",E29+ROW()/10000000)</f>
      </c>
    </row>
    <row r="30" spans="1:6" x14ac:dyDescent="0.25">
      <c r="A30" s="8"/>
      <c r="B30" s="9"/>
      <c r="C30" s="9"/>
      <c r="D30" s="9"/>
      <c r="E30" s="10">
        <f>IF(A30="","",B30-C30-D30)</f>
      </c>
      <c r="F30">
        <f>IF(A30="","",E30+ROW()/10000000)</f>
      </c>
    </row>
    <row r="31" spans="1:6" x14ac:dyDescent="0.25">
      <c r="A31" s="8"/>
      <c r="B31" s="9"/>
      <c r="C31" s="9"/>
      <c r="D31" s="9"/>
      <c r="E31" s="10">
        <f>IF(A31="","",B31-C31-D31)</f>
      </c>
      <c r="F31">
        <f>IF(A31="","",E31+ROW()/10000000)</f>
      </c>
    </row>
    <row r="32" spans="1:6" x14ac:dyDescent="0.25">
      <c r="A32" s="8"/>
      <c r="B32" s="9"/>
      <c r="C32" s="9"/>
      <c r="D32" s="9"/>
      <c r="E32" s="10">
        <f>IF(A32="","",B32-C32-D32)</f>
      </c>
      <c r="F32">
        <f>IF(A32="","",E32+ROW()/10000000)</f>
      </c>
    </row>
    <row r="33" spans="1:6" x14ac:dyDescent="0.25">
      <c r="A33" s="8"/>
      <c r="B33" s="9"/>
      <c r="C33" s="9"/>
      <c r="D33" s="9"/>
      <c r="E33" s="10">
        <f>IF(A33="","",B33-C33-D33)</f>
      </c>
      <c r="F33">
        <f>IF(A33="","",E33+ROW()/10000000)</f>
      </c>
    </row>
    <row r="34" spans="1:6" x14ac:dyDescent="0.25">
      <c r="A34" s="8"/>
      <c r="B34" s="9"/>
      <c r="C34" s="9"/>
      <c r="D34" s="9"/>
      <c r="E34" s="10">
        <f>IF(A34="","",B34-C34-D34)</f>
      </c>
      <c r="F34">
        <f>IF(A34="","",E34+ROW()/10000000)</f>
      </c>
    </row>
    <row r="35" spans="1:6" x14ac:dyDescent="0.25">
      <c r="A35" s="8"/>
      <c r="B35" s="9"/>
      <c r="C35" s="9"/>
      <c r="D35" s="9"/>
      <c r="E35" s="10">
        <f>IF(A35="","",B35-C35-D35)</f>
      </c>
      <c r="F35">
        <f>IF(A35="","",E35+ROW()/10000000)</f>
      </c>
    </row>
    <row r="36" spans="1:6" x14ac:dyDescent="0.25">
      <c r="A36" s="8"/>
      <c r="B36" s="9"/>
      <c r="C36" s="9"/>
      <c r="D36" s="9"/>
      <c r="E36" s="10">
        <f>IF(A36="","",B36-C36-D36)</f>
      </c>
      <c r="F36">
        <f>IF(A36="","",E36+ROW()/10000000)</f>
      </c>
    </row>
    <row r="37" spans="1:6" x14ac:dyDescent="0.25">
      <c r="A37" s="8"/>
      <c r="B37" s="9"/>
      <c r="C37" s="9"/>
      <c r="D37" s="9"/>
      <c r="E37" s="10">
        <f>IF(A37="","",B37-C37-D37)</f>
      </c>
      <c r="F37">
        <f>IF(A37="","",E37+ROW()/10000000)</f>
      </c>
    </row>
    <row r="38" spans="1:6" x14ac:dyDescent="0.25">
      <c r="A38" s="8"/>
      <c r="B38" s="9"/>
      <c r="C38" s="9"/>
      <c r="D38" s="9"/>
      <c r="E38" s="10">
        <f>IF(A38="","",B38-C38-D38)</f>
      </c>
      <c r="F38">
        <f>IF(A38="","",E38+ROW()/10000000)</f>
      </c>
    </row>
    <row r="39" spans="1:6" x14ac:dyDescent="0.25">
      <c r="A39" s="8"/>
      <c r="B39" s="9"/>
      <c r="C39" s="9"/>
      <c r="D39" s="9"/>
      <c r="E39" s="10">
        <f>IF(A39="","",B39-C39-D39)</f>
      </c>
      <c r="F39">
        <f>IF(A39="","",E39+ROW()/10000000)</f>
      </c>
    </row>
    <row r="40" spans="1:6" x14ac:dyDescent="0.25">
      <c r="A40" s="8"/>
      <c r="B40" s="9"/>
      <c r="C40" s="9"/>
      <c r="D40" s="9"/>
      <c r="E40" s="10">
        <f>IF(A40="","",B40-C40-D40)</f>
      </c>
      <c r="F40">
        <f>IF(A40="","",E40+ROW()/10000000)</f>
      </c>
    </row>
    <row r="41" spans="1:6" x14ac:dyDescent="0.25">
      <c r="A41" s="8"/>
      <c r="B41" s="9"/>
      <c r="C41" s="9"/>
      <c r="D41" s="9"/>
      <c r="E41" s="10">
        <f>IF(A41="","",B41-C41-D41)</f>
      </c>
      <c r="F41">
        <f>IF(A41="","",E41+ROW()/10000000)</f>
      </c>
    </row>
    <row r="42" spans="1:6" x14ac:dyDescent="0.25">
      <c r="A42" s="8"/>
      <c r="B42" s="9"/>
      <c r="C42" s="9"/>
      <c r="D42" s="9"/>
      <c r="E42" s="10">
        <f>IF(A42="","",B42-C42-D42)</f>
      </c>
      <c r="F42">
        <f>IF(A42="","",E42+ROW()/10000000)</f>
      </c>
    </row>
    <row r="43" spans="1:6" x14ac:dyDescent="0.25">
      <c r="A43" s="8"/>
      <c r="B43" s="9"/>
      <c r="C43" s="9"/>
      <c r="D43" s="9"/>
      <c r="E43" s="10">
        <f>IF(A43="","",B43-C43-D43)</f>
      </c>
      <c r="F43">
        <f>IF(A43="","",E43+ROW()/10000000)</f>
      </c>
    </row>
    <row r="44" spans="1:6" x14ac:dyDescent="0.25">
      <c r="A44" s="8"/>
      <c r="B44" s="9"/>
      <c r="C44" s="9"/>
      <c r="D44" s="9"/>
      <c r="E44" s="10">
        <f>IF(A44="","",B44-C44-D44)</f>
      </c>
      <c r="F44">
        <f>IF(A44="","",E44+ROW()/10000000)</f>
      </c>
    </row>
    <row r="45" spans="1:6" x14ac:dyDescent="0.25">
      <c r="A45" s="8"/>
      <c r="B45" s="9"/>
      <c r="C45" s="9"/>
      <c r="D45" s="9"/>
      <c r="E45" s="10">
        <f>IF(A45="","",B45-C45-D45)</f>
      </c>
      <c r="F45">
        <f>IF(A45="","",E45+ROW()/10000000)</f>
      </c>
    </row>
    <row r="46" spans="1:6" x14ac:dyDescent="0.25">
      <c r="A46" s="8"/>
      <c r="B46" s="9"/>
      <c r="C46" s="9"/>
      <c r="D46" s="9"/>
      <c r="E46" s="10">
        <f>IF(A46="","",B46-C46-D46)</f>
      </c>
      <c r="F46">
        <f>IF(A46="","",E46+ROW()/10000000)</f>
      </c>
    </row>
    <row r="47" spans="1:6" x14ac:dyDescent="0.25">
      <c r="A47" s="8"/>
      <c r="B47" s="9"/>
      <c r="C47" s="9"/>
      <c r="D47" s="9"/>
      <c r="E47" s="10">
        <f>IF(A47="","",B47-C47-D47)</f>
      </c>
      <c r="F47">
        <f>IF(A47="","",E47+ROW()/10000000)</f>
      </c>
    </row>
    <row r="48" spans="1:6" x14ac:dyDescent="0.25">
      <c r="A48" s="8"/>
      <c r="B48" s="9"/>
      <c r="C48" s="9"/>
      <c r="D48" s="9"/>
      <c r="E48" s="10">
        <f>IF(A48="","",B48-C48-D48)</f>
      </c>
      <c r="F48">
        <f>IF(A48="","",E48+ROW()/10000000)</f>
      </c>
    </row>
    <row r="49" spans="1:6" x14ac:dyDescent="0.25">
      <c r="A49" s="8"/>
      <c r="B49" s="9"/>
      <c r="C49" s="9"/>
      <c r="D49" s="9"/>
      <c r="E49" s="10">
        <f>IF(A49="","",B49-C49-D49)</f>
      </c>
      <c r="F49">
        <f>IF(A49="","",E49+ROW()/10000000)</f>
      </c>
    </row>
    <row r="50" spans="1:6" x14ac:dyDescent="0.25">
      <c r="A50" s="8"/>
      <c r="B50" s="9"/>
      <c r="C50" s="9"/>
      <c r="D50" s="9"/>
      <c r="E50" s="10">
        <f>IF(A50="","",B50-C50-D50)</f>
      </c>
      <c r="F50">
        <f>IF(A50="","",E50+ROW()/10000000)</f>
      </c>
    </row>
    <row r="51" spans="1:6" x14ac:dyDescent="0.25">
      <c r="A51" s="8"/>
      <c r="B51" s="9"/>
      <c r="C51" s="9"/>
      <c r="D51" s="9"/>
      <c r="E51" s="10">
        <f>IF(A51="","",B51-C51-D51)</f>
      </c>
      <c r="F51">
        <f>IF(A51="","",E51+ROW()/10000000)</f>
      </c>
    </row>
    <row r="52" spans="1:6" x14ac:dyDescent="0.25">
      <c r="A52" s="8"/>
      <c r="B52" s="9"/>
      <c r="C52" s="9"/>
      <c r="D52" s="9"/>
      <c r="E52" s="10">
        <f>IF(A52="","",B52-C52-D52)</f>
      </c>
      <c r="F52">
        <f>IF(A52="","",E52+ROW()/10000000)</f>
      </c>
    </row>
    <row r="53" spans="1:6" x14ac:dyDescent="0.25">
      <c r="A53" s="8"/>
      <c r="B53" s="9"/>
      <c r="C53" s="9"/>
      <c r="D53" s="9"/>
      <c r="E53" s="10">
        <f>IF(A53="","",B53-C53-D53)</f>
      </c>
      <c r="F53">
        <f>IF(A53="","",E53+ROW()/10000000)</f>
      </c>
    </row>
    <row r="54" spans="1:6" x14ac:dyDescent="0.25">
      <c r="A54" s="8"/>
      <c r="B54" s="9"/>
      <c r="C54" s="9"/>
      <c r="D54" s="9"/>
      <c r="E54" s="10">
        <f>IF(A54="","",B54-C54-D54)</f>
      </c>
      <c r="F54">
        <f>IF(A54="","",E54+ROW()/10000000)</f>
      </c>
    </row>
    <row r="55" spans="1:6" x14ac:dyDescent="0.25">
      <c r="A55" s="8"/>
      <c r="B55" s="9"/>
      <c r="C55" s="9"/>
      <c r="D55" s="9"/>
      <c r="E55" s="10">
        <f>IF(A55="","",B55-C55-D55)</f>
      </c>
      <c r="F55">
        <f>IF(A55="","",E55+ROW()/10000000)</f>
      </c>
    </row>
    <row r="56" spans="1:6" x14ac:dyDescent="0.25">
      <c r="A56" s="8"/>
      <c r="B56" s="9"/>
      <c r="C56" s="9"/>
      <c r="D56" s="9"/>
      <c r="E56" s="10">
        <f>IF(A56="","",B56-C56-D56)</f>
      </c>
      <c r="F56">
        <f>IF(A56="","",E56+ROW()/10000000)</f>
      </c>
    </row>
    <row r="57" spans="1:6" x14ac:dyDescent="0.25">
      <c r="A57" s="8"/>
      <c r="B57" s="9"/>
      <c r="C57" s="9"/>
      <c r="D57" s="9"/>
      <c r="E57" s="10">
        <f>IF(A57="","",B57-C57-D57)</f>
      </c>
      <c r="F57">
        <f>IF(A57="","",E57+ROW()/10000000)</f>
      </c>
    </row>
    <row r="58" spans="1:6" x14ac:dyDescent="0.25">
      <c r="A58" s="8"/>
      <c r="B58" s="9"/>
      <c r="C58" s="9"/>
      <c r="D58" s="9"/>
      <c r="E58" s="10">
        <f>IF(A58="","",B58-C58-D58)</f>
      </c>
      <c r="F58">
        <f>IF(A58="","",E58+ROW()/10000000)</f>
      </c>
    </row>
    <row r="59" spans="1:6" x14ac:dyDescent="0.25">
      <c r="A59" s="8"/>
      <c r="B59" s="9"/>
      <c r="C59" s="9"/>
      <c r="D59" s="9"/>
      <c r="E59" s="10">
        <f>IF(A59="","",B59-C59-D59)</f>
      </c>
      <c r="F59">
        <f>IF(A59="","",E59+ROW()/10000000)</f>
      </c>
    </row>
    <row r="60" spans="1:6" x14ac:dyDescent="0.25">
      <c r="A60" s="8"/>
      <c r="B60" s="9"/>
      <c r="C60" s="9"/>
      <c r="D60" s="9"/>
      <c r="E60" s="10">
        <f>IF(A60="","",B60-C60-D60)</f>
      </c>
      <c r="F60">
        <f>IF(A60="","",E60+ROW()/10000000)</f>
      </c>
    </row>
    <row r="61" spans="1:6" x14ac:dyDescent="0.25">
      <c r="A61" s="8"/>
      <c r="B61" s="9"/>
      <c r="C61" s="9"/>
      <c r="D61" s="9"/>
      <c r="E61" s="10">
        <f>IF(A61="","",B61-C61-D61)</f>
      </c>
      <c r="F61">
        <f>IF(A61="","",E61+ROW()/10000000)</f>
      </c>
    </row>
    <row r="62" spans="1:6" x14ac:dyDescent="0.25">
      <c r="A62" s="8"/>
      <c r="B62" s="9"/>
      <c r="C62" s="9"/>
      <c r="D62" s="9"/>
      <c r="E62" s="10">
        <f>IF(A62="","",B62-C62-D62)</f>
      </c>
      <c r="F62">
        <f>IF(A62="","",E62+ROW()/10000000)</f>
      </c>
    </row>
    <row r="63" spans="1:6" x14ac:dyDescent="0.25">
      <c r="A63" s="8"/>
      <c r="B63" s="9"/>
      <c r="C63" s="9"/>
      <c r="D63" s="9"/>
      <c r="E63" s="10">
        <f>IF(A63="","",B63-C63-D63)</f>
      </c>
      <c r="F63">
        <f>IF(A63="","",E63+ROW()/10000000)</f>
      </c>
    </row>
    <row r="64" spans="1:6" x14ac:dyDescent="0.25">
      <c r="A64" s="8"/>
      <c r="B64" s="9"/>
      <c r="C64" s="9"/>
      <c r="D64" s="9"/>
      <c r="E64" s="10">
        <f>IF(A64="","",B64-C64-D64)</f>
      </c>
      <c r="F64">
        <f>IF(A64="","",E64+ROW()/10000000)</f>
      </c>
    </row>
    <row r="65" spans="1:6" x14ac:dyDescent="0.25">
      <c r="A65" s="8"/>
      <c r="B65" s="9"/>
      <c r="C65" s="9"/>
      <c r="D65" s="9"/>
      <c r="E65" s="10">
        <f>IF(A65="","",B65-C65-D65)</f>
      </c>
      <c r="F65">
        <f>IF(A65="","",E65+ROW()/10000000)</f>
      </c>
    </row>
    <row r="66" spans="1:6" x14ac:dyDescent="0.25">
      <c r="A66" s="8"/>
      <c r="B66" s="9"/>
      <c r="C66" s="9"/>
      <c r="D66" s="9"/>
      <c r="E66" s="10">
        <f>IF(A66="","",B66-C66-D66)</f>
      </c>
      <c r="F66">
        <f>IF(A66="","",E66+ROW()/10000000)</f>
      </c>
    </row>
    <row r="67" spans="1:6" x14ac:dyDescent="0.25">
      <c r="A67" s="8"/>
      <c r="B67" s="9"/>
      <c r="C67" s="9"/>
      <c r="D67" s="9"/>
      <c r="E67" s="10">
        <f>IF(A67="","",B67-C67-D67)</f>
      </c>
      <c r="F67">
        <f>IF(A67="","",E67+ROW()/10000000)</f>
      </c>
    </row>
    <row r="68" spans="1:6" x14ac:dyDescent="0.25">
      <c r="A68" s="8"/>
      <c r="B68" s="9"/>
      <c r="C68" s="9"/>
      <c r="D68" s="9"/>
      <c r="E68" s="10">
        <f>IF(A68="","",B68-C68-D68)</f>
      </c>
      <c r="F68">
        <f>IF(A68="","",E68+ROW()/10000000)</f>
      </c>
    </row>
    <row r="69" spans="1:6" x14ac:dyDescent="0.25">
      <c r="A69" s="8"/>
      <c r="B69" s="9"/>
      <c r="C69" s="9"/>
      <c r="D69" s="9"/>
      <c r="E69" s="10">
        <f>IF(A69="","",B69-C69-D69)</f>
      </c>
      <c r="F69">
        <f>IF(A69="","",E69+ROW()/10000000)</f>
      </c>
    </row>
    <row r="70" spans="1:6" x14ac:dyDescent="0.25">
      <c r="A70" s="8"/>
      <c r="B70" s="9"/>
      <c r="C70" s="9"/>
      <c r="D70" s="9"/>
      <c r="E70" s="10">
        <f>IF(A70="","",B70-C70-D70)</f>
      </c>
      <c r="F70">
        <f>IF(A70="","",E70+ROW()/10000000)</f>
      </c>
    </row>
    <row r="71" spans="1:6" x14ac:dyDescent="0.25">
      <c r="A71" s="8"/>
      <c r="B71" s="9"/>
      <c r="C71" s="9"/>
      <c r="D71" s="9"/>
      <c r="E71" s="10">
        <f>IF(A71="","",B71-C71-D71)</f>
      </c>
      <c r="F71">
        <f>IF(A71="","",E71+ROW()/10000000)</f>
      </c>
    </row>
    <row r="72" spans="1:6" x14ac:dyDescent="0.25">
      <c r="A72" s="8"/>
      <c r="B72" s="9"/>
      <c r="C72" s="9"/>
      <c r="D72" s="9"/>
      <c r="E72" s="10">
        <f>IF(A72="","",B72-C72-D72)</f>
      </c>
      <c r="F72">
        <f>IF(A72="","",E72+ROW()/10000000)</f>
      </c>
    </row>
    <row r="73" spans="1:6" x14ac:dyDescent="0.25">
      <c r="A73" s="8"/>
      <c r="B73" s="9"/>
      <c r="C73" s="9"/>
      <c r="D73" s="9"/>
      <c r="E73" s="10">
        <f>IF(A73="","",B73-C73-D73)</f>
      </c>
      <c r="F73">
        <f>IF(A73="","",E73+ROW()/10000000)</f>
      </c>
    </row>
    <row r="74" spans="1:6" x14ac:dyDescent="0.25">
      <c r="A74" s="8"/>
      <c r="B74" s="9"/>
      <c r="C74" s="9"/>
      <c r="D74" s="9"/>
      <c r="E74" s="10">
        <f>IF(A74="","",B74-C74-D74)</f>
      </c>
      <c r="F74">
        <f>IF(A74="","",E74+ROW()/10000000)</f>
      </c>
    </row>
    <row r="75" spans="1:6" x14ac:dyDescent="0.25">
      <c r="A75" s="8"/>
      <c r="B75" s="9"/>
      <c r="C75" s="9"/>
      <c r="D75" s="9"/>
      <c r="E75" s="10">
        <f>IF(A75="","",B75-C75-D75)</f>
      </c>
      <c r="F75">
        <f>IF(A75="","",E75+ROW()/10000000)</f>
      </c>
    </row>
    <row r="76" spans="1:6" x14ac:dyDescent="0.25">
      <c r="A76" s="8"/>
      <c r="B76" s="9"/>
      <c r="C76" s="9"/>
      <c r="D76" s="9"/>
      <c r="E76" s="10">
        <f>IF(A76="","",B76-C76-D76)</f>
      </c>
      <c r="F76">
        <f>IF(A76="","",E76+ROW()/10000000)</f>
      </c>
    </row>
    <row r="77" spans="1:6" x14ac:dyDescent="0.25">
      <c r="A77" s="8"/>
      <c r="B77" s="9"/>
      <c r="C77" s="9"/>
      <c r="D77" s="9"/>
      <c r="E77" s="10">
        <f>IF(A77="","",B77-C77-D77)</f>
      </c>
      <c r="F77">
        <f>IF(A77="","",E77+ROW()/10000000)</f>
      </c>
    </row>
    <row r="78" spans="1:6" x14ac:dyDescent="0.25">
      <c r="A78" s="8"/>
      <c r="B78" s="9"/>
      <c r="C78" s="9"/>
      <c r="D78" s="9"/>
      <c r="E78" s="10">
        <f>IF(A78="","",B78-C78-D78)</f>
      </c>
      <c r="F78">
        <f>IF(A78="","",E78+ROW()/10000000)</f>
      </c>
    </row>
    <row r="79" spans="1:6" x14ac:dyDescent="0.25">
      <c r="A79" s="8"/>
      <c r="B79" s="9"/>
      <c r="C79" s="9"/>
      <c r="D79" s="9"/>
      <c r="E79" s="10">
        <f>IF(A79="","",B79-C79-D79)</f>
      </c>
      <c r="F79">
        <f>IF(A79="","",E79+ROW()/10000000)</f>
      </c>
    </row>
    <row r="80" spans="1:6" x14ac:dyDescent="0.25">
      <c r="A80" s="8"/>
      <c r="B80" s="9"/>
      <c r="C80" s="9"/>
      <c r="D80" s="9"/>
      <c r="E80" s="10">
        <f>IF(A80="","",B80-C80-D80)</f>
      </c>
      <c r="F80">
        <f>IF(A80="","",E80+ROW()/10000000)</f>
      </c>
    </row>
    <row r="81" spans="1:6" x14ac:dyDescent="0.25">
      <c r="A81" s="8"/>
      <c r="B81" s="9"/>
      <c r="C81" s="9"/>
      <c r="D81" s="9"/>
      <c r="E81" s="10">
        <f>IF(A81="","",B81-C81-D81)</f>
      </c>
      <c r="F81">
        <f>IF(A81="","",E81+ROW()/10000000)</f>
      </c>
    </row>
    <row r="82" spans="1:6" x14ac:dyDescent="0.25">
      <c r="A82" s="8"/>
      <c r="B82" s="9"/>
      <c r="C82" s="9"/>
      <c r="D82" s="9"/>
      <c r="E82" s="10">
        <f>IF(A82="","",B82-C82-D82)</f>
      </c>
      <c r="F82">
        <f>IF(A82="","",E82+ROW()/10000000)</f>
      </c>
    </row>
    <row r="83" spans="1:6" x14ac:dyDescent="0.25">
      <c r="A83" s="8"/>
      <c r="B83" s="9"/>
      <c r="C83" s="9"/>
      <c r="D83" s="9"/>
      <c r="E83" s="10">
        <f>IF(A83="","",B83-C83-D83)</f>
      </c>
      <c r="F83">
        <f>IF(A83="","",E83+ROW()/10000000)</f>
      </c>
    </row>
    <row r="84" spans="1:6" x14ac:dyDescent="0.25">
      <c r="A84" s="8"/>
      <c r="B84" s="9"/>
      <c r="C84" s="9"/>
      <c r="D84" s="9"/>
      <c r="E84" s="10">
        <f>IF(A84="","",B84-C84-D84)</f>
      </c>
      <c r="F84">
        <f>IF(A84="","",E84+ROW()/10000000)</f>
      </c>
    </row>
    <row r="85" spans="1:6" x14ac:dyDescent="0.25">
      <c r="A85" s="8"/>
      <c r="B85" s="9"/>
      <c r="C85" s="9"/>
      <c r="D85" s="9"/>
      <c r="E85" s="10">
        <f>IF(A85="","",B85-C85-D85)</f>
      </c>
      <c r="F85">
        <f>IF(A85="","",E85+ROW()/10000000)</f>
      </c>
    </row>
    <row r="86" spans="1:6" x14ac:dyDescent="0.25">
      <c r="A86" s="8"/>
      <c r="B86" s="9"/>
      <c r="C86" s="9"/>
      <c r="D86" s="9"/>
      <c r="E86" s="10">
        <f>IF(A86="","",B86-C86-D86)</f>
      </c>
      <c r="F86">
        <f>IF(A86="","",E86+ROW()/10000000)</f>
      </c>
    </row>
    <row r="87" spans="1:6" x14ac:dyDescent="0.25">
      <c r="A87" s="8"/>
      <c r="B87" s="9"/>
      <c r="C87" s="9"/>
      <c r="D87" s="9"/>
      <c r="E87" s="10">
        <f>IF(A87="","",B87-C87-D87)</f>
      </c>
      <c r="F87">
        <f>IF(A87="","",E87+ROW()/10000000)</f>
      </c>
    </row>
    <row r="88" spans="1:6" x14ac:dyDescent="0.25">
      <c r="A88" s="8"/>
      <c r="B88" s="9"/>
      <c r="C88" s="9"/>
      <c r="D88" s="9"/>
      <c r="E88" s="10">
        <f>IF(A88="","",B88-C88-D88)</f>
      </c>
      <c r="F88">
        <f>IF(A88="","",E88+ROW()/10000000)</f>
      </c>
    </row>
    <row r="89" spans="1:6" x14ac:dyDescent="0.25">
      <c r="A89" s="8"/>
      <c r="B89" s="9"/>
      <c r="C89" s="9"/>
      <c r="D89" s="9"/>
      <c r="E89" s="10">
        <f>IF(A89="","",B89-C89-D89)</f>
      </c>
      <c r="F89">
        <f>IF(A89="","",E89+ROW()/10000000)</f>
      </c>
    </row>
    <row r="90" spans="1:6" x14ac:dyDescent="0.25">
      <c r="A90" s="8"/>
      <c r="B90" s="9"/>
      <c r="C90" s="9"/>
      <c r="D90" s="9"/>
      <c r="E90" s="10">
        <f>IF(A90="","",B90-C90-D90)</f>
      </c>
      <c r="F90">
        <f>IF(A90="","",E90+ROW()/10000000)</f>
      </c>
    </row>
    <row r="91" spans="1:6" x14ac:dyDescent="0.25">
      <c r="A91" s="8"/>
      <c r="B91" s="9"/>
      <c r="C91" s="9"/>
      <c r="D91" s="9"/>
      <c r="E91" s="10">
        <f>IF(A91="","",B91-C91-D91)</f>
      </c>
      <c r="F91">
        <f>IF(A91="","",E91+ROW()/10000000)</f>
      </c>
    </row>
    <row r="92" spans="1:6" x14ac:dyDescent="0.25">
      <c r="A92" s="8"/>
      <c r="B92" s="9"/>
      <c r="C92" s="9"/>
      <c r="D92" s="9"/>
      <c r="E92" s="10">
        <f>IF(A92="","",B92-C92-D92)</f>
      </c>
      <c r="F92">
        <f>IF(A92="","",E92+ROW()/10000000)</f>
      </c>
    </row>
    <row r="93" spans="1:6" x14ac:dyDescent="0.25">
      <c r="A93" s="8"/>
      <c r="B93" s="9"/>
      <c r="C93" s="9"/>
      <c r="D93" s="9"/>
      <c r="E93" s="10">
        <f>IF(A93="","",B93-C93-D93)</f>
      </c>
      <c r="F93">
        <f>IF(A93="","",E93+ROW()/10000000)</f>
      </c>
    </row>
    <row r="94" spans="1:6" x14ac:dyDescent="0.25">
      <c r="A94" s="8"/>
      <c r="B94" s="9"/>
      <c r="C94" s="9"/>
      <c r="D94" s="9"/>
      <c r="E94" s="10">
        <f>IF(A94="","",B94-C94-D94)</f>
      </c>
      <c r="F94">
        <f>IF(A94="","",E94+ROW()/10000000)</f>
      </c>
    </row>
    <row r="95" spans="1:6" x14ac:dyDescent="0.25">
      <c r="A95" s="8"/>
      <c r="B95" s="9"/>
      <c r="C95" s="9"/>
      <c r="D95" s="9"/>
      <c r="E95" s="10">
        <f>IF(A95="","",B95-C95-D95)</f>
      </c>
      <c r="F95">
        <f>IF(A95="","",E95+ROW()/10000000)</f>
      </c>
    </row>
    <row r="96" spans="1:6" x14ac:dyDescent="0.25">
      <c r="A96" s="8"/>
      <c r="B96" s="9"/>
      <c r="C96" s="9"/>
      <c r="D96" s="9"/>
      <c r="E96" s="10">
        <f>IF(A96="","",B96-C96-D96)</f>
      </c>
      <c r="F96">
        <f>IF(A96="","",E96+ROW()/10000000)</f>
      </c>
    </row>
    <row r="97" spans="1:6" x14ac:dyDescent="0.25">
      <c r="A97" s="8"/>
      <c r="B97" s="9"/>
      <c r="C97" s="9"/>
      <c r="D97" s="9"/>
      <c r="E97" s="10">
        <f>IF(A97="","",B97-C97-D97)</f>
      </c>
      <c r="F97">
        <f>IF(A97="","",E97+ROW()/10000000)</f>
      </c>
    </row>
    <row r="98" spans="1:6" x14ac:dyDescent="0.25">
      <c r="A98" s="8"/>
      <c r="B98" s="9"/>
      <c r="C98" s="9"/>
      <c r="D98" s="9"/>
      <c r="E98" s="10">
        <f>IF(A98="","",B98-C98-D98)</f>
      </c>
      <c r="F98">
        <f>IF(A98="","",E98+ROW()/10000000)</f>
      </c>
    </row>
    <row r="99" spans="1:6" x14ac:dyDescent="0.25">
      <c r="A99" s="8"/>
      <c r="B99" s="9"/>
      <c r="C99" s="9"/>
      <c r="D99" s="9"/>
      <c r="E99" s="10">
        <f>IF(A99="","",B99-C99-D99)</f>
      </c>
      <c r="F99">
        <f>IF(A99="","",E99+ROW()/10000000)</f>
      </c>
    </row>
    <row r="100" spans="1:6" x14ac:dyDescent="0.25">
      <c r="A100" s="8"/>
      <c r="B100" s="9"/>
      <c r="C100" s="9"/>
      <c r="D100" s="9"/>
      <c r="E100" s="10">
        <f>IF(A100="","",B100-C100-D100)</f>
      </c>
      <c r="F100">
        <f>IF(A100="","",E100+ROW()/10000000)</f>
      </c>
    </row>
    <row r="101" spans="1:6" x14ac:dyDescent="0.25">
      <c r="A101" s="8"/>
      <c r="B101" s="9"/>
      <c r="C101" s="9"/>
      <c r="D101" s="9"/>
      <c r="E101" s="10">
        <f>IF(A101="","",B101-C101-D101)</f>
      </c>
      <c r="F101">
        <f>IF(A101="","",E101+ROW()/10000000)</f>
      </c>
    </row>
    <row r="102" spans="1:6" x14ac:dyDescent="0.25">
      <c r="A102" s="8"/>
      <c r="B102" s="9"/>
      <c r="C102" s="9"/>
      <c r="D102" s="9"/>
      <c r="E102" s="10">
        <f>IF(A102="","",B102-C102-D102)</f>
      </c>
      <c r="F102">
        <f>IF(A102="","",E102+ROW()/10000000)</f>
      </c>
    </row>
    <row r="103" spans="1:6" x14ac:dyDescent="0.25">
      <c r="A103" s="8"/>
      <c r="B103" s="9"/>
      <c r="C103" s="9"/>
      <c r="D103" s="9"/>
      <c r="E103" s="10">
        <f>IF(A103="","",B103-C103-D103)</f>
      </c>
      <c r="F103">
        <f>IF(A103="","",E103+ROW()/10000000)</f>
      </c>
    </row>
    <row r="104" spans="1:6" x14ac:dyDescent="0.25">
      <c r="A104" s="8"/>
      <c r="B104" s="9"/>
      <c r="C104" s="9"/>
      <c r="D104" s="9"/>
      <c r="E104" s="10">
        <f>IF(A104="","",B104-C104-D104)</f>
      </c>
      <c r="F104">
        <f>IF(A104="","",E104+ROW()/10000000)</f>
      </c>
    </row>
    <row r="105" spans="1:6" x14ac:dyDescent="0.25">
      <c r="A105" s="8"/>
      <c r="B105" s="9"/>
      <c r="C105" s="9"/>
      <c r="D105" s="9"/>
      <c r="E105" s="10">
        <f>IF(A105="","",B105-C105-D105)</f>
      </c>
      <c r="F105">
        <f>IF(A105="","",E105+ROW()/10000000)</f>
      </c>
    </row>
    <row r="106" spans="1:6" x14ac:dyDescent="0.25">
      <c r="A106" s="8"/>
      <c r="B106" s="9"/>
      <c r="C106" s="9"/>
      <c r="D106" s="9"/>
      <c r="E106" s="10">
        <f>IF(A106="","",B106-C106-D106)</f>
      </c>
      <c r="F106">
        <f>IF(A106="","",E106+ROW()/10000000)</f>
      </c>
    </row>
    <row r="107" spans="1:6" x14ac:dyDescent="0.25">
      <c r="A107" s="8"/>
      <c r="B107" s="9"/>
      <c r="C107" s="9"/>
      <c r="D107" s="9"/>
      <c r="E107" s="10">
        <f>IF(A107="","",B107-C107-D107)</f>
      </c>
      <c r="F107">
        <f>IF(A107="","",E107+ROW()/10000000)</f>
      </c>
    </row>
    <row r="108" spans="1:6" x14ac:dyDescent="0.25">
      <c r="A108" s="8"/>
      <c r="B108" s="9"/>
      <c r="C108" s="9"/>
      <c r="D108" s="9"/>
      <c r="E108" s="10">
        <f>IF(A108="","",B108-C108-D108)</f>
      </c>
      <c r="F108">
        <f>IF(A108="","",E108+ROW()/10000000)</f>
      </c>
    </row>
    <row r="109" spans="1:6" x14ac:dyDescent="0.25">
      <c r="A109" s="8"/>
      <c r="B109" s="9"/>
      <c r="C109" s="9"/>
      <c r="D109" s="9"/>
      <c r="E109" s="10">
        <f>IF(A109="","",B109-C109-D109)</f>
      </c>
      <c r="F109">
        <f>IF(A109="","",E109+ROW()/10000000)</f>
      </c>
    </row>
    <row r="110" spans="1:6" x14ac:dyDescent="0.25">
      <c r="A110" s="8"/>
      <c r="B110" s="9"/>
      <c r="C110" s="9"/>
      <c r="D110" s="9"/>
      <c r="E110" s="10">
        <f>IF(A110="","",B110-C110-D110)</f>
      </c>
      <c r="F110">
        <f>IF(A110="","",E110+ROW()/10000000)</f>
      </c>
    </row>
    <row r="111" spans="1:6" x14ac:dyDescent="0.25">
      <c r="A111" s="8"/>
      <c r="B111" s="9"/>
      <c r="C111" s="9"/>
      <c r="D111" s="9"/>
      <c r="E111" s="10">
        <f>IF(A111="","",B111-C111-D111)</f>
      </c>
      <c r="F111">
        <f>IF(A111="","",E111+ROW()/10000000)</f>
      </c>
    </row>
    <row r="112" spans="1:6" x14ac:dyDescent="0.25">
      <c r="A112" s="8"/>
      <c r="B112" s="9"/>
      <c r="C112" s="9"/>
      <c r="D112" s="9"/>
      <c r="E112" s="10">
        <f>IF(A112="","",B112-C112-D112)</f>
      </c>
      <c r="F112">
        <f>IF(A112="","",E112+ROW()/10000000)</f>
      </c>
    </row>
    <row r="113" spans="1:6" x14ac:dyDescent="0.25">
      <c r="A113" s="8"/>
      <c r="B113" s="9"/>
      <c r="C113" s="9"/>
      <c r="D113" s="9"/>
      <c r="E113" s="10">
        <f>IF(A113="","",B113-C113-D113)</f>
      </c>
      <c r="F113">
        <f>IF(A113="","",E113+ROW()/10000000)</f>
      </c>
    </row>
    <row r="114" spans="1:6" x14ac:dyDescent="0.25">
      <c r="A114" s="8"/>
      <c r="B114" s="9"/>
      <c r="C114" s="9"/>
      <c r="D114" s="9"/>
      <c r="E114" s="10">
        <f>IF(A114="","",B114-C114-D114)</f>
      </c>
      <c r="F114">
        <f>IF(A114="","",E114+ROW()/10000000)</f>
      </c>
    </row>
    <row r="115" spans="1:6" x14ac:dyDescent="0.25">
      <c r="A115" s="8"/>
      <c r="B115" s="9"/>
      <c r="C115" s="9"/>
      <c r="D115" s="9"/>
      <c r="E115" s="10">
        <f>IF(A115="","",B115-C115-D115)</f>
      </c>
      <c r="F115">
        <f>IF(A115="","",E115+ROW()/10000000)</f>
      </c>
    </row>
    <row r="116" spans="1:6" x14ac:dyDescent="0.25">
      <c r="A116" s="8"/>
      <c r="B116" s="9"/>
      <c r="C116" s="9"/>
      <c r="D116" s="9"/>
      <c r="E116" s="10">
        <f>IF(A116="","",B116-C116-D116)</f>
      </c>
      <c r="F116">
        <f>IF(A116="","",E116+ROW()/10000000)</f>
      </c>
    </row>
    <row r="117" spans="1:6" x14ac:dyDescent="0.25">
      <c r="A117" s="8"/>
      <c r="B117" s="9"/>
      <c r="C117" s="9"/>
      <c r="D117" s="9"/>
      <c r="E117" s="10">
        <f>IF(A117="","",B117-C117-D117)</f>
      </c>
      <c r="F117">
        <f>IF(A117="","",E117+ROW()/10000000)</f>
      </c>
    </row>
    <row r="118" spans="1:6" x14ac:dyDescent="0.25">
      <c r="A118" s="8"/>
      <c r="B118" s="9"/>
      <c r="C118" s="9"/>
      <c r="D118" s="9"/>
      <c r="E118" s="10">
        <f>IF(A118="","",B118-C118-D118)</f>
      </c>
      <c r="F118">
        <f>IF(A118="","",E118+ROW()/10000000)</f>
      </c>
    </row>
    <row r="119" spans="1:6" x14ac:dyDescent="0.25">
      <c r="A119" s="8"/>
      <c r="B119" s="9"/>
      <c r="C119" s="9"/>
      <c r="D119" s="9"/>
      <c r="E119" s="10">
        <f>IF(A119="","",B119-C119-D119)</f>
      </c>
      <c r="F119">
        <f>IF(A119="","",E119+ROW()/10000000)</f>
      </c>
    </row>
    <row r="120" spans="1:6" x14ac:dyDescent="0.25">
      <c r="A120" s="8"/>
      <c r="B120" s="9"/>
      <c r="C120" s="9"/>
      <c r="D120" s="9"/>
      <c r="E120" s="10">
        <f>IF(A120="","",B120-C120-D120)</f>
      </c>
      <c r="F120">
        <f>IF(A120="","",E120+ROW()/10000000)</f>
      </c>
    </row>
    <row r="121" spans="1:6" x14ac:dyDescent="0.25">
      <c r="A121" s="8"/>
      <c r="B121" s="9"/>
      <c r="C121" s="9"/>
      <c r="D121" s="9"/>
      <c r="E121" s="10">
        <f>IF(A121="","",B121-C121-D121)</f>
      </c>
      <c r="F121">
        <f>IF(A121="","",E121+ROW()/10000000)</f>
      </c>
    </row>
    <row r="122" spans="1:6" x14ac:dyDescent="0.25">
      <c r="A122" s="8"/>
      <c r="B122" s="9"/>
      <c r="C122" s="9"/>
      <c r="D122" s="9"/>
      <c r="E122" s="10">
        <f>IF(A122="","",B122-C122-D122)</f>
      </c>
      <c r="F122">
        <f>IF(A122="","",E122+ROW()/10000000)</f>
      </c>
    </row>
    <row r="123" spans="1:6" x14ac:dyDescent="0.25">
      <c r="A123" s="8"/>
      <c r="B123" s="9"/>
      <c r="C123" s="9"/>
      <c r="D123" s="9"/>
      <c r="E123" s="10">
        <f>IF(A123="","",B123-C123-D123)</f>
      </c>
      <c r="F123">
        <f>IF(A123="","",E123+ROW()/10000000)</f>
      </c>
    </row>
    <row r="124" spans="1:6" x14ac:dyDescent="0.25">
      <c r="A124" s="8"/>
      <c r="B124" s="9"/>
      <c r="C124" s="9"/>
      <c r="D124" s="9"/>
      <c r="E124" s="10">
        <f>IF(A124="","",B124-C124-D124)</f>
      </c>
      <c r="F124">
        <f>IF(A124="","",E124+ROW()/10000000)</f>
      </c>
    </row>
    <row r="125" spans="1:6" x14ac:dyDescent="0.25">
      <c r="A125" s="8"/>
      <c r="B125" s="9"/>
      <c r="C125" s="9"/>
      <c r="D125" s="9"/>
      <c r="E125" s="10">
        <f>IF(A125="","",B125-C125-D125)</f>
      </c>
      <c r="F125">
        <f>IF(A125="","",E125+ROW()/10000000)</f>
      </c>
    </row>
    <row r="126" spans="1:6" x14ac:dyDescent="0.25">
      <c r="A126" s="8"/>
      <c r="B126" s="9"/>
      <c r="C126" s="9"/>
      <c r="D126" s="9"/>
      <c r="E126" s="10">
        <f>IF(A126="","",B126-C126-D126)</f>
      </c>
      <c r="F126">
        <f>IF(A126="","",E126+ROW()/10000000)</f>
      </c>
    </row>
    <row r="127" spans="1:6" x14ac:dyDescent="0.25">
      <c r="A127" s="8"/>
      <c r="B127" s="9"/>
      <c r="C127" s="9"/>
      <c r="D127" s="9"/>
      <c r="E127" s="10">
        <f>IF(A127="","",B127-C127-D127)</f>
      </c>
      <c r="F127">
        <f>IF(A127="","",E127+ROW()/10000000)</f>
      </c>
    </row>
    <row r="128" spans="1:6" x14ac:dyDescent="0.25">
      <c r="A128" s="8"/>
      <c r="B128" s="9"/>
      <c r="C128" s="9"/>
      <c r="D128" s="9"/>
      <c r="E128" s="10">
        <f>IF(A128="","",B128-C128-D128)</f>
      </c>
      <c r="F128">
        <f>IF(A128="","",E128+ROW()/10000000)</f>
      </c>
    </row>
    <row r="129" spans="1:6" x14ac:dyDescent="0.25">
      <c r="A129" s="8"/>
      <c r="B129" s="9"/>
      <c r="C129" s="9"/>
      <c r="D129" s="9"/>
      <c r="E129" s="10">
        <f>IF(A129="","",B129-C129-D129)</f>
      </c>
      <c r="F129">
        <f>IF(A129="","",E129+ROW()/10000000)</f>
      </c>
    </row>
    <row r="130" spans="1:6" x14ac:dyDescent="0.25">
      <c r="A130" s="8"/>
      <c r="B130" s="9"/>
      <c r="C130" s="9"/>
      <c r="D130" s="9"/>
      <c r="E130" s="10">
        <f>IF(A130="","",B130-C130-D130)</f>
      </c>
      <c r="F130">
        <f>IF(A130="","",E130+ROW()/10000000)</f>
      </c>
    </row>
    <row r="131" spans="1:6" x14ac:dyDescent="0.25">
      <c r="A131" s="8"/>
      <c r="B131" s="9"/>
      <c r="C131" s="9"/>
      <c r="D131" s="9"/>
      <c r="E131" s="10">
        <f>IF(A131="","",B131-C131-D131)</f>
      </c>
      <c r="F131">
        <f>IF(A131="","",E131+ROW()/10000000)</f>
      </c>
    </row>
    <row r="132" spans="1:6" x14ac:dyDescent="0.25">
      <c r="A132" s="8"/>
      <c r="B132" s="9"/>
      <c r="C132" s="9"/>
      <c r="D132" s="9"/>
      <c r="E132" s="10">
        <f>IF(A132="","",B132-C132-D132)</f>
      </c>
      <c r="F132">
        <f>IF(A132="","",E132+ROW()/10000000)</f>
      </c>
    </row>
    <row r="133" spans="1:6" x14ac:dyDescent="0.25">
      <c r="A133" s="8"/>
      <c r="B133" s="9"/>
      <c r="C133" s="9"/>
      <c r="D133" s="9"/>
      <c r="E133" s="10">
        <f>IF(A133="","",B133-C133-D133)</f>
      </c>
      <c r="F133">
        <f>IF(A133="","",E133+ROW()/10000000)</f>
      </c>
    </row>
    <row r="134" spans="1:6" x14ac:dyDescent="0.25">
      <c r="A134" s="8"/>
      <c r="B134" s="9"/>
      <c r="C134" s="9"/>
      <c r="D134" s="9"/>
      <c r="E134" s="10">
        <f>IF(A134="","",B134-C134-D134)</f>
      </c>
      <c r="F134">
        <f>IF(A134="","",E134+ROW()/10000000)</f>
      </c>
    </row>
    <row r="135" spans="1:6" x14ac:dyDescent="0.25">
      <c r="A135" s="8"/>
      <c r="B135" s="9"/>
      <c r="C135" s="9"/>
      <c r="D135" s="9"/>
      <c r="E135" s="10">
        <f>IF(A135="","",B135-C135-D135)</f>
      </c>
      <c r="F135">
        <f>IF(A135="","",E135+ROW()/10000000)</f>
      </c>
    </row>
    <row r="136" spans="1:6" x14ac:dyDescent="0.25">
      <c r="A136" s="8"/>
      <c r="B136" s="9"/>
      <c r="C136" s="9"/>
      <c r="D136" s="9"/>
      <c r="E136" s="10">
        <f>IF(A136="","",B136-C136-D136)</f>
      </c>
      <c r="F136">
        <f>IF(A136="","",E136+ROW()/10000000)</f>
      </c>
    </row>
    <row r="137" spans="1:6" x14ac:dyDescent="0.25">
      <c r="A137" s="8"/>
      <c r="B137" s="9"/>
      <c r="C137" s="9"/>
      <c r="D137" s="9"/>
      <c r="E137" s="10">
        <f>IF(A137="","",B137-C137-D137)</f>
      </c>
      <c r="F137">
        <f>IF(A137="","",E137+ROW()/10000000)</f>
      </c>
    </row>
    <row r="138" spans="1:6" x14ac:dyDescent="0.25">
      <c r="A138" s="8"/>
      <c r="B138" s="9"/>
      <c r="C138" s="9"/>
      <c r="D138" s="9"/>
      <c r="E138" s="10">
        <f>IF(A138="","",B138-C138-D138)</f>
      </c>
      <c r="F138">
        <f>IF(A138="","",E138+ROW()/10000000)</f>
      </c>
    </row>
    <row r="139" spans="1:6" x14ac:dyDescent="0.25">
      <c r="A139" s="8"/>
      <c r="B139" s="9"/>
      <c r="C139" s="9"/>
      <c r="D139" s="9"/>
      <c r="E139" s="10">
        <f>IF(A139="","",B139-C139-D139)</f>
      </c>
      <c r="F139">
        <f>IF(A139="","",E139+ROW()/10000000)</f>
      </c>
    </row>
    <row r="140" spans="1:6" x14ac:dyDescent="0.25">
      <c r="A140" s="8"/>
      <c r="B140" s="9"/>
      <c r="C140" s="9"/>
      <c r="D140" s="9"/>
      <c r="E140" s="10">
        <f>IF(A140="","",B140-C140-D140)</f>
      </c>
      <c r="F140">
        <f>IF(A140="","",E140+ROW()/10000000)</f>
      </c>
    </row>
    <row r="141" spans="1:6" x14ac:dyDescent="0.25">
      <c r="A141" s="8"/>
      <c r="B141" s="9"/>
      <c r="C141" s="9"/>
      <c r="D141" s="9"/>
      <c r="E141" s="10">
        <f>IF(A141="","",B141-C141-D141)</f>
      </c>
      <c r="F141">
        <f>IF(A141="","",E141+ROW()/10000000)</f>
      </c>
    </row>
    <row r="142" spans="1:6" x14ac:dyDescent="0.25">
      <c r="A142" s="8"/>
      <c r="B142" s="9"/>
      <c r="C142" s="9"/>
      <c r="D142" s="9"/>
      <c r="E142" s="10">
        <f>IF(A142="","",B142-C142-D142)</f>
      </c>
      <c r="F142">
        <f>IF(A142="","",E142+ROW()/10000000)</f>
      </c>
    </row>
    <row r="143" spans="1:6" x14ac:dyDescent="0.25">
      <c r="A143" s="8"/>
      <c r="B143" s="9"/>
      <c r="C143" s="9"/>
      <c r="D143" s="9"/>
      <c r="E143" s="10">
        <f>IF(A143="","",B143-C143-D143)</f>
      </c>
      <c r="F143">
        <f>IF(A143="","",E143+ROW()/10000000)</f>
      </c>
    </row>
    <row r="144" spans="1:6" x14ac:dyDescent="0.25">
      <c r="A144" s="8"/>
      <c r="B144" s="9"/>
      <c r="C144" s="9"/>
      <c r="D144" s="9"/>
      <c r="E144" s="10">
        <f>IF(A144="","",B144-C144-D144)</f>
      </c>
      <c r="F144">
        <f>IF(A144="","",E144+ROW()/10000000)</f>
      </c>
    </row>
    <row r="145" spans="1:6" x14ac:dyDescent="0.25">
      <c r="A145" s="8"/>
      <c r="B145" s="9"/>
      <c r="C145" s="9"/>
      <c r="D145" s="9"/>
      <c r="E145" s="10">
        <f>IF(A145="","",B145-C145-D145)</f>
      </c>
      <c r="F145">
        <f>IF(A145="","",E145+ROW()/10000000)</f>
      </c>
    </row>
    <row r="146" spans="1:6" x14ac:dyDescent="0.25">
      <c r="A146" s="8"/>
      <c r="B146" s="9"/>
      <c r="C146" s="9"/>
      <c r="D146" s="9"/>
      <c r="E146" s="10">
        <f>IF(A146="","",B146-C146-D146)</f>
      </c>
      <c r="F146">
        <f>IF(A146="","",E146+ROW()/10000000)</f>
      </c>
    </row>
    <row r="147" spans="1:6" x14ac:dyDescent="0.25">
      <c r="A147" s="8"/>
      <c r="B147" s="9"/>
      <c r="C147" s="9"/>
      <c r="D147" s="9"/>
      <c r="E147" s="10">
        <f>IF(A147="","",B147-C147-D147)</f>
      </c>
      <c r="F147">
        <f>IF(A147="","",E147+ROW()/10000000)</f>
      </c>
    </row>
    <row r="148" spans="1:6" x14ac:dyDescent="0.25">
      <c r="A148" s="8"/>
      <c r="B148" s="9"/>
      <c r="C148" s="9"/>
      <c r="D148" s="9"/>
      <c r="E148" s="10">
        <f>IF(A148="","",B148-C148-D148)</f>
      </c>
      <c r="F148">
        <f>IF(A148="","",E148+ROW()/10000000)</f>
      </c>
    </row>
    <row r="149" spans="1:6" x14ac:dyDescent="0.25">
      <c r="A149" s="8"/>
      <c r="B149" s="9"/>
      <c r="C149" s="9"/>
      <c r="D149" s="9"/>
      <c r="E149" s="10">
        <f>IF(A149="","",B149-C149-D149)</f>
      </c>
      <c r="F149">
        <f>IF(A149="","",E149+ROW()/10000000)</f>
      </c>
    </row>
    <row r="150" spans="1:6" x14ac:dyDescent="0.25">
      <c r="A150" s="8"/>
      <c r="B150" s="9"/>
      <c r="C150" s="9"/>
      <c r="D150" s="9"/>
      <c r="E150" s="10">
        <f>IF(A150="","",B150-C150-D150)</f>
      </c>
      <c r="F150">
        <f>IF(A150="","",E150+ROW()/10000000)</f>
      </c>
    </row>
    <row r="151" spans="1:6" x14ac:dyDescent="0.25">
      <c r="A151" s="8"/>
      <c r="B151" s="9"/>
      <c r="C151" s="9"/>
      <c r="D151" s="9"/>
      <c r="E151" s="10">
        <f>IF(A151="","",B151-C151-D151)</f>
      </c>
      <c r="F151">
        <f>IF(A151="","",E151+ROW()/10000000)</f>
      </c>
    </row>
    <row r="152" spans="1:6" x14ac:dyDescent="0.25">
      <c r="A152" s="8"/>
      <c r="B152" s="9"/>
      <c r="C152" s="9"/>
      <c r="D152" s="9"/>
      <c r="E152" s="10">
        <f>IF(A152="","",B152-C152-D152)</f>
      </c>
      <c r="F152">
        <f>IF(A152="","",E152+ROW()/10000000)</f>
      </c>
    </row>
    <row r="153" spans="1:6" x14ac:dyDescent="0.25">
      <c r="A153" s="8"/>
      <c r="B153" s="9"/>
      <c r="C153" s="9"/>
      <c r="D153" s="9"/>
      <c r="E153" s="10">
        <f>IF(A153="","",B153-C153-D153)</f>
      </c>
      <c r="F153">
        <f>IF(A153="","",E153+ROW()/10000000)</f>
      </c>
    </row>
    <row r="154" spans="1:6" x14ac:dyDescent="0.25">
      <c r="A154" s="8"/>
      <c r="B154" s="9"/>
      <c r="C154" s="9"/>
      <c r="D154" s="9"/>
      <c r="E154" s="10">
        <f>IF(A154="","",B154-C154-D154)</f>
      </c>
      <c r="F154">
        <f>IF(A154="","",E154+ROW()/10000000)</f>
      </c>
    </row>
    <row r="155" spans="1:6" x14ac:dyDescent="0.25">
      <c r="A155" s="8"/>
      <c r="B155" s="9"/>
      <c r="C155" s="9"/>
      <c r="D155" s="9"/>
      <c r="E155" s="10">
        <f>IF(A155="","",B155-C155-D155)</f>
      </c>
      <c r="F155">
        <f>IF(A155="","",E155+ROW()/10000000)</f>
      </c>
    </row>
    <row r="156" spans="1:6" x14ac:dyDescent="0.25">
      <c r="A156" s="8"/>
      <c r="B156" s="9"/>
      <c r="C156" s="9"/>
      <c r="D156" s="9"/>
      <c r="E156" s="10">
        <f>IF(A156="","",B156-C156-D156)</f>
      </c>
      <c r="F156">
        <f>IF(A156="","",E156+ROW()/10000000)</f>
      </c>
    </row>
    <row r="157" spans="1:6" x14ac:dyDescent="0.25">
      <c r="A157" s="8"/>
      <c r="B157" s="9"/>
      <c r="C157" s="9"/>
      <c r="D157" s="9"/>
      <c r="E157" s="10">
        <f>IF(A157="","",B157-C157-D157)</f>
      </c>
      <c r="F157">
        <f>IF(A157="","",E157+ROW()/10000000)</f>
      </c>
    </row>
    <row r="158" spans="1:6" x14ac:dyDescent="0.25">
      <c r="A158" s="8"/>
      <c r="B158" s="9"/>
      <c r="C158" s="9"/>
      <c r="D158" s="9"/>
      <c r="E158" s="10">
        <f>IF(A158="","",B158-C158-D158)</f>
      </c>
      <c r="F158">
        <f>IF(A158="","",E158+ROW()/10000000)</f>
      </c>
    </row>
    <row r="159" spans="1:6" x14ac:dyDescent="0.25">
      <c r="A159" s="8"/>
      <c r="B159" s="9"/>
      <c r="C159" s="9"/>
      <c r="D159" s="9"/>
      <c r="E159" s="10">
        <f>IF(A159="","",B159-C159-D159)</f>
      </c>
      <c r="F159">
        <f>IF(A159="","",E159+ROW()/10000000)</f>
      </c>
    </row>
    <row r="160" spans="1:6" x14ac:dyDescent="0.25">
      <c r="A160" s="8"/>
      <c r="B160" s="9"/>
      <c r="C160" s="9"/>
      <c r="D160" s="9"/>
      <c r="E160" s="10">
        <f>IF(A160="","",B160-C160-D160)</f>
      </c>
      <c r="F160">
        <f>IF(A160="","",E160+ROW()/10000000)</f>
      </c>
    </row>
    <row r="161" spans="1:6" x14ac:dyDescent="0.25">
      <c r="A161" s="8"/>
      <c r="B161" s="9"/>
      <c r="C161" s="9"/>
      <c r="D161" s="9"/>
      <c r="E161" s="10">
        <f>IF(A161="","",B161-C161-D161)</f>
      </c>
      <c r="F161">
        <f>IF(A161="","",E161+ROW()/10000000)</f>
      </c>
    </row>
    <row r="162" spans="1:6" x14ac:dyDescent="0.25">
      <c r="A162" s="8"/>
      <c r="B162" s="9"/>
      <c r="C162" s="9"/>
      <c r="D162" s="9"/>
      <c r="E162" s="10">
        <f>IF(A162="","",B162-C162-D162)</f>
      </c>
      <c r="F162">
        <f>IF(A162="","",E162+ROW()/10000000)</f>
      </c>
    </row>
    <row r="163" spans="1:6" x14ac:dyDescent="0.25">
      <c r="A163" s="8"/>
      <c r="B163" s="9"/>
      <c r="C163" s="9"/>
      <c r="D163" s="9"/>
      <c r="E163" s="10">
        <f>IF(A163="","",B163-C163-D163)</f>
      </c>
      <c r="F163">
        <f>IF(A163="","",E163+ROW()/10000000)</f>
      </c>
    </row>
    <row r="164" spans="1:6" x14ac:dyDescent="0.25">
      <c r="A164" s="8"/>
      <c r="B164" s="9"/>
      <c r="C164" s="9"/>
      <c r="D164" s="9"/>
      <c r="E164" s="10">
        <f>IF(A164="","",B164-C164-D164)</f>
      </c>
      <c r="F164">
        <f>IF(A164="","",E164+ROW()/10000000)</f>
      </c>
    </row>
    <row r="165" spans="1:6" x14ac:dyDescent="0.25">
      <c r="A165" s="8"/>
      <c r="B165" s="9"/>
      <c r="C165" s="9"/>
      <c r="D165" s="9"/>
      <c r="E165" s="10">
        <f>IF(A165="","",B165-C165-D165)</f>
      </c>
      <c r="F165">
        <f>IF(A165="","",E165+ROW()/10000000)</f>
      </c>
    </row>
    <row r="166" spans="1:6" x14ac:dyDescent="0.25">
      <c r="A166" s="8"/>
      <c r="B166" s="9"/>
      <c r="C166" s="9"/>
      <c r="D166" s="9"/>
      <c r="E166" s="10">
        <f>IF(A166="","",B166-C166-D166)</f>
      </c>
      <c r="F166">
        <f>IF(A166="","",E166+ROW()/10000000)</f>
      </c>
    </row>
    <row r="167" spans="1:6" x14ac:dyDescent="0.25">
      <c r="A167" s="8"/>
      <c r="B167" s="9"/>
      <c r="C167" s="9"/>
      <c r="D167" s="9"/>
      <c r="E167" s="10">
        <f>IF(A167="","",B167-C167-D167)</f>
      </c>
      <c r="F167">
        <f>IF(A167="","",E167+ROW()/10000000)</f>
      </c>
    </row>
    <row r="168" spans="1:6" x14ac:dyDescent="0.25">
      <c r="A168" s="8"/>
      <c r="B168" s="9"/>
      <c r="C168" s="9"/>
      <c r="D168" s="9"/>
      <c r="E168" s="10">
        <f>IF(A168="","",B168-C168-D168)</f>
      </c>
      <c r="F168">
        <f>IF(A168="","",E168+ROW()/10000000)</f>
      </c>
    </row>
    <row r="169" spans="1:6" x14ac:dyDescent="0.25">
      <c r="A169" s="8"/>
      <c r="B169" s="9"/>
      <c r="C169" s="9"/>
      <c r="D169" s="9"/>
      <c r="E169" s="10">
        <f>IF(A169="","",B169-C169-D169)</f>
      </c>
      <c r="F169">
        <f>IF(A169="","",E169+ROW()/10000000)</f>
      </c>
    </row>
    <row r="170" spans="1:6" x14ac:dyDescent="0.25">
      <c r="A170" s="8"/>
      <c r="B170" s="9"/>
      <c r="C170" s="9"/>
      <c r="D170" s="9"/>
      <c r="E170" s="10">
        <f>IF(A170="","",B170-C170-D170)</f>
      </c>
      <c r="F170">
        <f>IF(A170="","",E170+ROW()/10000000)</f>
      </c>
    </row>
    <row r="171" spans="1:6" x14ac:dyDescent="0.25">
      <c r="A171" s="8"/>
      <c r="B171" s="9"/>
      <c r="C171" s="9"/>
      <c r="D171" s="9"/>
      <c r="E171" s="10">
        <f>IF(A171="","",B171-C171-D171)</f>
      </c>
      <c r="F171">
        <f>IF(A171="","",E171+ROW()/10000000)</f>
      </c>
    </row>
    <row r="172" spans="1:6" x14ac:dyDescent="0.25">
      <c r="A172" s="8"/>
      <c r="B172" s="9"/>
      <c r="C172" s="9"/>
      <c r="D172" s="9"/>
      <c r="E172" s="10">
        <f>IF(A172="","",B172-C172-D172)</f>
      </c>
      <c r="F172">
        <f>IF(A172="","",E172+ROW()/10000000)</f>
      </c>
    </row>
    <row r="173" spans="1:6" x14ac:dyDescent="0.25">
      <c r="A173" s="8"/>
      <c r="B173" s="9"/>
      <c r="C173" s="9"/>
      <c r="D173" s="9"/>
      <c r="E173" s="10">
        <f>IF(A173="","",B173-C173-D173)</f>
      </c>
      <c r="F173">
        <f>IF(A173="","",E173+ROW()/10000000)</f>
      </c>
    </row>
    <row r="174" spans="1:6" x14ac:dyDescent="0.25">
      <c r="A174" s="8"/>
      <c r="B174" s="9"/>
      <c r="C174" s="9"/>
      <c r="D174" s="9"/>
      <c r="E174" s="10">
        <f>IF(A174="","",B174-C174-D174)</f>
      </c>
      <c r="F174">
        <f>IF(A174="","",E174+ROW()/10000000)</f>
      </c>
    </row>
    <row r="175" spans="1:6" x14ac:dyDescent="0.25">
      <c r="A175" s="8"/>
      <c r="B175" s="9"/>
      <c r="C175" s="9"/>
      <c r="D175" s="9"/>
      <c r="E175" s="10">
        <f>IF(A175="","",B175-C175-D175)</f>
      </c>
      <c r="F175">
        <f>IF(A175="","",E175+ROW()/10000000)</f>
      </c>
    </row>
    <row r="176" spans="1:6" x14ac:dyDescent="0.25">
      <c r="A176" s="8"/>
      <c r="B176" s="9"/>
      <c r="C176" s="9"/>
      <c r="D176" s="9"/>
      <c r="E176" s="10">
        <f>IF(A176="","",B176-C176-D176)</f>
      </c>
      <c r="F176">
        <f>IF(A176="","",E176+ROW()/10000000)</f>
      </c>
    </row>
    <row r="177" spans="1:6" x14ac:dyDescent="0.25">
      <c r="A177" s="8"/>
      <c r="B177" s="9"/>
      <c r="C177" s="9"/>
      <c r="D177" s="9"/>
      <c r="E177" s="10">
        <f>IF(A177="","",B177-C177-D177)</f>
      </c>
      <c r="F177">
        <f>IF(A177="","",E177+ROW()/10000000)</f>
      </c>
    </row>
    <row r="178" spans="1:6" x14ac:dyDescent="0.25">
      <c r="A178" s="8"/>
      <c r="B178" s="9"/>
      <c r="C178" s="9"/>
      <c r="D178" s="9"/>
      <c r="E178" s="10">
        <f>IF(A178="","",B178-C178-D178)</f>
      </c>
      <c r="F178">
        <f>IF(A178="","",E178+ROW()/10000000)</f>
      </c>
    </row>
    <row r="179" spans="1:6" x14ac:dyDescent="0.25">
      <c r="A179" s="8"/>
      <c r="B179" s="9"/>
      <c r="C179" s="9"/>
      <c r="D179" s="9"/>
      <c r="E179" s="10">
        <f>IF(A179="","",B179-C179-D179)</f>
      </c>
      <c r="F179">
        <f>IF(A179="","",E179+ROW()/10000000)</f>
      </c>
    </row>
    <row r="180" spans="1:6" x14ac:dyDescent="0.25">
      <c r="A180" s="8"/>
      <c r="B180" s="9"/>
      <c r="C180" s="9"/>
      <c r="D180" s="9"/>
      <c r="E180" s="10">
        <f>IF(A180="","",B180-C180-D180)</f>
      </c>
      <c r="F180">
        <f>IF(A180="","",E180+ROW()/10000000)</f>
      </c>
    </row>
    <row r="181" spans="1:6" x14ac:dyDescent="0.25">
      <c r="A181" s="8"/>
      <c r="B181" s="9"/>
      <c r="C181" s="9"/>
      <c r="D181" s="9"/>
      <c r="E181" s="10">
        <f>IF(A181="","",B181-C181-D181)</f>
      </c>
      <c r="F181">
        <f>IF(A181="","",E181+ROW()/10000000)</f>
      </c>
    </row>
    <row r="182" spans="1:6" x14ac:dyDescent="0.25">
      <c r="A182" s="8"/>
      <c r="B182" s="9"/>
      <c r="C182" s="9"/>
      <c r="D182" s="9"/>
      <c r="E182" s="10">
        <f>IF(A182="","",B182-C182-D182)</f>
      </c>
      <c r="F182">
        <f>IF(A182="","",E182+ROW()/10000000)</f>
      </c>
    </row>
    <row r="183" spans="1:6" x14ac:dyDescent="0.25">
      <c r="A183" s="8"/>
      <c r="B183" s="9"/>
      <c r="C183" s="9"/>
      <c r="D183" s="9"/>
      <c r="E183" s="10">
        <f>IF(A183="","",B183-C183-D183)</f>
      </c>
      <c r="F183">
        <f>IF(A183="","",E183+ROW()/10000000)</f>
      </c>
    </row>
    <row r="184" spans="1:6" x14ac:dyDescent="0.25">
      <c r="A184" s="8"/>
      <c r="B184" s="9"/>
      <c r="C184" s="9"/>
      <c r="D184" s="9"/>
      <c r="E184" s="10">
        <f>IF(A184="","",B184-C184-D184)</f>
      </c>
      <c r="F184">
        <f>IF(A184="","",E184+ROW()/10000000)</f>
      </c>
    </row>
    <row r="185" spans="1:6" x14ac:dyDescent="0.25">
      <c r="A185" s="8"/>
      <c r="B185" s="9"/>
      <c r="C185" s="9"/>
      <c r="D185" s="9"/>
      <c r="E185" s="10">
        <f>IF(A185="","",B185-C185-D185)</f>
      </c>
      <c r="F185">
        <f>IF(A185="","",E185+ROW()/10000000)</f>
      </c>
    </row>
    <row r="186" spans="1:6" x14ac:dyDescent="0.25">
      <c r="A186" s="8"/>
      <c r="B186" s="9"/>
      <c r="C186" s="9"/>
      <c r="D186" s="9"/>
      <c r="E186" s="10">
        <f>IF(A186="","",B186-C186-D186)</f>
      </c>
      <c r="F186">
        <f>IF(A186="","",E186+ROW()/10000000)</f>
      </c>
    </row>
    <row r="187" spans="1:6" x14ac:dyDescent="0.25">
      <c r="A187" s="8"/>
      <c r="B187" s="9"/>
      <c r="C187" s="9"/>
      <c r="D187" s="9"/>
      <c r="E187" s="10">
        <f>IF(A187="","",B187-C187-D187)</f>
      </c>
      <c r="F187">
        <f>IF(A187="","",E187+ROW()/10000000)</f>
      </c>
    </row>
    <row r="188" spans="1:6" x14ac:dyDescent="0.25">
      <c r="A188" s="8"/>
      <c r="B188" s="9"/>
      <c r="C188" s="9"/>
      <c r="D188" s="9"/>
      <c r="E188" s="10">
        <f>IF(A188="","",B188-C188-D188)</f>
      </c>
      <c r="F188">
        <f>IF(A188="","",E188+ROW()/10000000)</f>
      </c>
    </row>
    <row r="189" spans="1:6" x14ac:dyDescent="0.25">
      <c r="A189" s="8"/>
      <c r="B189" s="9"/>
      <c r="C189" s="9"/>
      <c r="D189" s="9"/>
      <c r="E189" s="10">
        <f>IF(A189="","",B189-C189-D189)</f>
      </c>
      <c r="F189">
        <f>IF(A189="","",E189+ROW()/10000000)</f>
      </c>
    </row>
    <row r="190" spans="1:6" x14ac:dyDescent="0.25">
      <c r="A190" s="8"/>
      <c r="B190" s="9"/>
      <c r="C190" s="9"/>
      <c r="D190" s="9"/>
      <c r="E190" s="10">
        <f>IF(A190="","",B190-C190-D190)</f>
      </c>
      <c r="F190">
        <f>IF(A190="","",E190+ROW()/10000000)</f>
      </c>
    </row>
    <row r="191" spans="1:6" x14ac:dyDescent="0.25">
      <c r="A191" s="8"/>
      <c r="B191" s="9"/>
      <c r="C191" s="9"/>
      <c r="D191" s="9"/>
      <c r="E191" s="10">
        <f>IF(A191="","",B191-C191-D191)</f>
      </c>
      <c r="F191">
        <f>IF(A191="","",E191+ROW()/10000000)</f>
      </c>
    </row>
    <row r="192" spans="1:6" x14ac:dyDescent="0.25">
      <c r="A192" s="8"/>
      <c r="B192" s="9"/>
      <c r="C192" s="9"/>
      <c r="D192" s="9"/>
      <c r="E192" s="10">
        <f>IF(A192="","",B192-C192-D192)</f>
      </c>
      <c r="F192">
        <f>IF(A192="","",E192+ROW()/10000000)</f>
      </c>
    </row>
    <row r="193" spans="1:6" x14ac:dyDescent="0.25">
      <c r="A193" s="8"/>
      <c r="B193" s="9"/>
      <c r="C193" s="9"/>
      <c r="D193" s="9"/>
      <c r="E193" s="10">
        <f>IF(A193="","",B193-C193-D193)</f>
      </c>
      <c r="F193">
        <f>IF(A193="","",E193+ROW()/10000000)</f>
      </c>
    </row>
    <row r="194" spans="1:6" x14ac:dyDescent="0.25">
      <c r="A194" s="8"/>
      <c r="B194" s="9"/>
      <c r="C194" s="9"/>
      <c r="D194" s="9"/>
      <c r="E194" s="10">
        <f>IF(A194="","",B194-C194-D194)</f>
      </c>
      <c r="F194">
        <f>IF(A194="","",E194+ROW()/10000000)</f>
      </c>
    </row>
    <row r="195" spans="1:6" x14ac:dyDescent="0.25">
      <c r="A195" s="8"/>
      <c r="B195" s="9"/>
      <c r="C195" s="9"/>
      <c r="D195" s="9"/>
      <c r="E195" s="10">
        <f>IF(A195="","",B195-C195-D195)</f>
      </c>
      <c r="F195">
        <f>IF(A195="","",E195+ROW()/10000000)</f>
      </c>
    </row>
    <row r="196" spans="1:6" x14ac:dyDescent="0.25">
      <c r="A196" s="8"/>
      <c r="B196" s="9"/>
      <c r="C196" s="9"/>
      <c r="D196" s="9"/>
      <c r="E196" s="10">
        <f>IF(A196="","",B196-C196-D196)</f>
      </c>
      <c r="F196">
        <f>IF(A196="","",E196+ROW()/10000000)</f>
      </c>
    </row>
    <row r="197" spans="1:6" x14ac:dyDescent="0.25">
      <c r="A197" s="8"/>
      <c r="B197" s="9"/>
      <c r="C197" s="9"/>
      <c r="D197" s="9"/>
      <c r="E197" s="10">
        <f>IF(A197="","",B197-C197-D197)</f>
      </c>
      <c r="F197">
        <f>IF(A197="","",E197+ROW()/10000000)</f>
      </c>
    </row>
    <row r="198" spans="1:6" x14ac:dyDescent="0.25">
      <c r="A198" s="8"/>
      <c r="B198" s="9"/>
      <c r="C198" s="9"/>
      <c r="D198" s="9"/>
      <c r="E198" s="10">
        <f>IF(A198="","",B198-C198-D198)</f>
      </c>
      <c r="F198">
        <f>IF(A198="","",E198+ROW()/10000000)</f>
      </c>
    </row>
    <row r="199" spans="1:6" x14ac:dyDescent="0.25">
      <c r="A199" s="8"/>
      <c r="B199" s="9"/>
      <c r="C199" s="9"/>
      <c r="D199" s="9"/>
      <c r="E199" s="10">
        <f>IF(A199="","",B199-C199-D199)</f>
      </c>
      <c r="F199">
        <f>IF(A199="","",E199+ROW()/10000000)</f>
      </c>
    </row>
    <row r="200" spans="1:6" x14ac:dyDescent="0.25">
      <c r="A200" s="8"/>
      <c r="B200" s="9"/>
      <c r="C200" s="9"/>
      <c r="D200" s="9"/>
      <c r="E200" s="10">
        <f>IF(A200="","",B200-C200-D200)</f>
      </c>
      <c r="F200">
        <f>IF(A200="","",E200+ROW()/10000000)</f>
      </c>
    </row>
    <row r="201" spans="1:6" x14ac:dyDescent="0.25">
      <c r="A201" s="8"/>
      <c r="B201" s="9"/>
      <c r="C201" s="9"/>
      <c r="D201" s="9"/>
      <c r="E201" s="10">
        <f>IF(A201="","",B201-C201-D201)</f>
      </c>
      <c r="F201">
        <f>IF(A201="","",E201+ROW()/10000000)</f>
      </c>
    </row>
    <row r="202" spans="1:6" x14ac:dyDescent="0.25">
      <c r="A202" s="8"/>
      <c r="B202" s="9"/>
      <c r="C202" s="9"/>
      <c r="D202" s="9"/>
      <c r="E202" s="10">
        <f>IF(A202="","",B202-C202-D202)</f>
      </c>
      <c r="F202">
        <f>IF(A202="","",E202+ROW()/10000000)</f>
      </c>
    </row>
    <row r="203" spans="1:6" x14ac:dyDescent="0.25">
      <c r="A203" s="8"/>
      <c r="B203" s="9"/>
      <c r="C203" s="9"/>
      <c r="D203" s="9"/>
      <c r="E203" s="10">
        <f>IF(A203="","",B203-C203-D203)</f>
      </c>
      <c r="F203">
        <f>IF(A203="","",E203+ROW()/10000000)</f>
      </c>
    </row>
    <row r="204" spans="1:6" x14ac:dyDescent="0.25">
      <c r="A204" s="8"/>
      <c r="B204" s="9"/>
      <c r="C204" s="9"/>
      <c r="D204" s="9"/>
      <c r="E204" s="10">
        <f>IF(A204="","",B204-C204-D204)</f>
      </c>
      <c r="F204">
        <f>IF(A204="","",E204+ROW()/10000000)</f>
      </c>
    </row>
    <row r="206" spans="1:5" x14ac:dyDescent="0.25">
      <c r="A206" s="11" t="s">
        <v>21</v>
      </c>
      <c r="B206" s="12">
        <f>SUM(B5:B204)</f>
      </c>
      <c r="C206" s="12">
        <f>SUM(C5:C204)</f>
      </c>
      <c r="D206" s="12">
        <f>SUM(D5:D204)</f>
      </c>
      <c r="E206" s="12">
        <f>SUM(E5:E204)</f>
      </c>
    </row>
  </sheetData>
  <mergeCells count="1">
    <mergeCell ref="A1:F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2"/>
  <sheetViews>
    <sheetView workbookViewId="0" showGridLines="0">
      <pane ySplit="12" topLeftCell="A13" activePane="bottomLeft" state="frozen"/>
      <selection pane="bottomLeft"/>
    </sheetView>
  </sheetViews>
  <sheetFormatPr defaultRowHeight="15" outlineLevelRow="0" outlineLevelCol="0" x14ac:dyDescent="55"/>
  <cols>
    <col min="1" max="1" width="8" customWidth="1"/>
    <col min="2" max="2" width="30" customWidth="1"/>
    <col min="3" max="4" width="15" customWidth="1"/>
    <col min="5" max="5" width="12" customWidth="1"/>
    <col min="6" max="6" width="17" customWidth="1"/>
    <col min="7" max="7" width="16" customWidth="1"/>
  </cols>
  <sheetData>
    <row r="1" ht="26" customHeight="1" spans="1:7" x14ac:dyDescent="0.25">
      <c r="A1" s="5" t="s">
        <v>22</v>
      </c>
      <c r="B1" s="5"/>
      <c r="C1" s="5"/>
      <c r="D1" s="5"/>
      <c r="E1" s="5"/>
      <c r="F1" s="5"/>
      <c r="G1" s="5"/>
    </row>
    <row r="2" spans="1:1" x14ac:dyDescent="0.25">
      <c r="A2" s="6" t="s">
        <v>23</v>
      </c>
    </row>
    <row r="4" spans="1:5" x14ac:dyDescent="0.25">
      <c r="A4" s="13" t="s">
        <v>24</v>
      </c>
      <c r="B4" s="13"/>
      <c r="C4" s="13"/>
      <c r="D4" s="13"/>
      <c r="E4" s="14">
        <f>COUNT(Customers!$F$5:$F$204)</f>
      </c>
    </row>
    <row r="5" spans="1:5" x14ac:dyDescent="0.25">
      <c r="A5" s="13" t="s">
        <v>25</v>
      </c>
      <c r="B5" s="13"/>
      <c r="C5" s="13"/>
      <c r="D5" s="13"/>
      <c r="E5" s="15">
        <f>SUM(Customers!E5:E204)</f>
      </c>
    </row>
    <row r="6" spans="1:5" x14ac:dyDescent="0.25">
      <c r="A6" s="13" t="s">
        <v>26</v>
      </c>
      <c r="B6" s="13"/>
      <c r="C6" s="13"/>
      <c r="D6" s="13"/>
      <c r="E6" s="15">
        <f>IF(COUNT(Customers!$F$5:$F$204)=0,0,MAX(F13:F212))</f>
      </c>
    </row>
    <row r="7" spans="1:5" x14ac:dyDescent="0.25">
      <c r="A7" s="16" t="s">
        <v>27</v>
      </c>
      <c r="B7" s="16"/>
      <c r="C7" s="16"/>
      <c r="D7" s="16"/>
      <c r="E7" s="17">
        <f>E6-E5</f>
      </c>
    </row>
    <row r="8" spans="1:5" x14ac:dyDescent="0.25">
      <c r="A8" s="13" t="s">
        <v>28</v>
      </c>
      <c r="B8" s="13"/>
      <c r="C8" s="13"/>
      <c r="D8" s="13"/>
      <c r="E8" s="14">
        <f>COUNTIF(Customers!E5:E204,"&lt;0")</f>
      </c>
    </row>
    <row r="9" spans="1:5" x14ac:dyDescent="0.25">
      <c r="A9" s="13" t="s">
        <v>29</v>
      </c>
      <c r="B9" s="13"/>
      <c r="C9" s="13"/>
      <c r="D9" s="13"/>
      <c r="E9" s="18">
        <f>IF(COUNT(Customers!$F$5:$F$204)=0,"",INDEX(F13:F212,ROUNDUP(COUNT(Customers!$F$5:$F$204)/5,0))/E5)</f>
      </c>
    </row>
    <row r="12" spans="1:7" x14ac:dyDescent="0.25">
      <c r="A12" s="19" t="s">
        <v>30</v>
      </c>
      <c r="B12" s="19" t="s">
        <v>15</v>
      </c>
      <c r="C12" s="19" t="s">
        <v>31</v>
      </c>
      <c r="D12" s="19" t="s">
        <v>19</v>
      </c>
      <c r="E12" s="19" t="s">
        <v>32</v>
      </c>
      <c r="F12" s="19" t="s">
        <v>33</v>
      </c>
      <c r="G12" s="19" t="s">
        <v>34</v>
      </c>
    </row>
    <row r="13" spans="1:7" x14ac:dyDescent="0.25">
      <c r="A13">
        <f>IF(1&gt;COUNT(Customers!$F$5:$F$204),"",1)</f>
      </c>
      <c r="B13">
        <f>IF(A13="","",INDEX(Customers!$A$5:$A$204,MATCH(LARGE(Customers!$F$5:$F$204,1),Customers!$F$5:$F$204,0)))</f>
      </c>
      <c r="C13" s="10">
        <f>IF(A13="","",INDEX(Customers!$B$5:$B$204,MATCH(LARGE(Customers!$F$5:$F$204,1),Customers!$F$5:$F$204,0)))</f>
      </c>
      <c r="D13" s="10">
        <f>IF(A13="","",INDEX(Customers!$E$5:$E$204,MATCH(LARGE(Customers!$F$5:$F$204,1),Customers!$F$5:$F$204,0)))</f>
      </c>
      <c r="E13" s="20">
        <f>IF(A13="","",IF(C13=0,"",D13/C13))</f>
      </c>
      <c r="F13" s="10">
        <f>IF(A13="","",D13)</f>
      </c>
      <c r="G13" s="20">
        <f>IF(A13="","",F13/E$5)</f>
      </c>
    </row>
    <row r="14" spans="1:7" x14ac:dyDescent="0.25">
      <c r="A14">
        <f>IF(2&gt;COUNT(Customers!$F$5:$F$204),"",2)</f>
      </c>
      <c r="B14">
        <f>IF(A14="","",INDEX(Customers!$A$5:$A$204,MATCH(LARGE(Customers!$F$5:$F$204,2),Customers!$F$5:$F$204,0)))</f>
      </c>
      <c r="C14" s="10">
        <f>IF(A14="","",INDEX(Customers!$B$5:$B$204,MATCH(LARGE(Customers!$F$5:$F$204,2),Customers!$F$5:$F$204,0)))</f>
      </c>
      <c r="D14" s="10">
        <f>IF(A14="","",INDEX(Customers!$E$5:$E$204,MATCH(LARGE(Customers!$F$5:$F$204,2),Customers!$F$5:$F$204,0)))</f>
      </c>
      <c r="E14" s="20">
        <f>IF(A14="","",IF(C14=0,"",D14/C14))</f>
      </c>
      <c r="F14" s="10">
        <f>IF(A14="","",F13+D14)</f>
      </c>
      <c r="G14" s="20">
        <f>IF(A14="","",F14/E$5)</f>
      </c>
    </row>
    <row r="15" spans="1:7" x14ac:dyDescent="0.25">
      <c r="A15">
        <f>IF(3&gt;COUNT(Customers!$F$5:$F$204),"",3)</f>
      </c>
      <c r="B15">
        <f>IF(A15="","",INDEX(Customers!$A$5:$A$204,MATCH(LARGE(Customers!$F$5:$F$204,3),Customers!$F$5:$F$204,0)))</f>
      </c>
      <c r="C15" s="10">
        <f>IF(A15="","",INDEX(Customers!$B$5:$B$204,MATCH(LARGE(Customers!$F$5:$F$204,3),Customers!$F$5:$F$204,0)))</f>
      </c>
      <c r="D15" s="10">
        <f>IF(A15="","",INDEX(Customers!$E$5:$E$204,MATCH(LARGE(Customers!$F$5:$F$204,3),Customers!$F$5:$F$204,0)))</f>
      </c>
      <c r="E15" s="20">
        <f>IF(A15="","",IF(C15=0,"",D15/C15))</f>
      </c>
      <c r="F15" s="10">
        <f>IF(A15="","",F14+D15)</f>
      </c>
      <c r="G15" s="20">
        <f>IF(A15="","",F15/E$5)</f>
      </c>
    </row>
    <row r="16" spans="1:7" x14ac:dyDescent="0.25">
      <c r="A16">
        <f>IF(4&gt;COUNT(Customers!$F$5:$F$204),"",4)</f>
      </c>
      <c r="B16">
        <f>IF(A16="","",INDEX(Customers!$A$5:$A$204,MATCH(LARGE(Customers!$F$5:$F$204,4),Customers!$F$5:$F$204,0)))</f>
      </c>
      <c r="C16" s="10">
        <f>IF(A16="","",INDEX(Customers!$B$5:$B$204,MATCH(LARGE(Customers!$F$5:$F$204,4),Customers!$F$5:$F$204,0)))</f>
      </c>
      <c r="D16" s="10">
        <f>IF(A16="","",INDEX(Customers!$E$5:$E$204,MATCH(LARGE(Customers!$F$5:$F$204,4),Customers!$F$5:$F$204,0)))</f>
      </c>
      <c r="E16" s="20">
        <f>IF(A16="","",IF(C16=0,"",D16/C16))</f>
      </c>
      <c r="F16" s="10">
        <f>IF(A16="","",F15+D16)</f>
      </c>
      <c r="G16" s="20">
        <f>IF(A16="","",F16/E$5)</f>
      </c>
    </row>
    <row r="17" spans="1:7" x14ac:dyDescent="0.25">
      <c r="A17">
        <f>IF(5&gt;COUNT(Customers!$F$5:$F$204),"",5)</f>
      </c>
      <c r="B17">
        <f>IF(A17="","",INDEX(Customers!$A$5:$A$204,MATCH(LARGE(Customers!$F$5:$F$204,5),Customers!$F$5:$F$204,0)))</f>
      </c>
      <c r="C17" s="10">
        <f>IF(A17="","",INDEX(Customers!$B$5:$B$204,MATCH(LARGE(Customers!$F$5:$F$204,5),Customers!$F$5:$F$204,0)))</f>
      </c>
      <c r="D17" s="10">
        <f>IF(A17="","",INDEX(Customers!$E$5:$E$204,MATCH(LARGE(Customers!$F$5:$F$204,5),Customers!$F$5:$F$204,0)))</f>
      </c>
      <c r="E17" s="20">
        <f>IF(A17="","",IF(C17=0,"",D17/C17))</f>
      </c>
      <c r="F17" s="10">
        <f>IF(A17="","",F16+D17)</f>
      </c>
      <c r="G17" s="20">
        <f>IF(A17="","",F17/E$5)</f>
      </c>
    </row>
    <row r="18" spans="1:7" x14ac:dyDescent="0.25">
      <c r="A18">
        <f>IF(6&gt;COUNT(Customers!$F$5:$F$204),"",6)</f>
      </c>
      <c r="B18">
        <f>IF(A18="","",INDEX(Customers!$A$5:$A$204,MATCH(LARGE(Customers!$F$5:$F$204,6),Customers!$F$5:$F$204,0)))</f>
      </c>
      <c r="C18" s="10">
        <f>IF(A18="","",INDEX(Customers!$B$5:$B$204,MATCH(LARGE(Customers!$F$5:$F$204,6),Customers!$F$5:$F$204,0)))</f>
      </c>
      <c r="D18" s="10">
        <f>IF(A18="","",INDEX(Customers!$E$5:$E$204,MATCH(LARGE(Customers!$F$5:$F$204,6),Customers!$F$5:$F$204,0)))</f>
      </c>
      <c r="E18" s="20">
        <f>IF(A18="","",IF(C18=0,"",D18/C18))</f>
      </c>
      <c r="F18" s="10">
        <f>IF(A18="","",F17+D18)</f>
      </c>
      <c r="G18" s="20">
        <f>IF(A18="","",F18/E$5)</f>
      </c>
    </row>
    <row r="19" spans="1:7" x14ac:dyDescent="0.25">
      <c r="A19">
        <f>IF(7&gt;COUNT(Customers!$F$5:$F$204),"",7)</f>
      </c>
      <c r="B19">
        <f>IF(A19="","",INDEX(Customers!$A$5:$A$204,MATCH(LARGE(Customers!$F$5:$F$204,7),Customers!$F$5:$F$204,0)))</f>
      </c>
      <c r="C19" s="10">
        <f>IF(A19="","",INDEX(Customers!$B$5:$B$204,MATCH(LARGE(Customers!$F$5:$F$204,7),Customers!$F$5:$F$204,0)))</f>
      </c>
      <c r="D19" s="10">
        <f>IF(A19="","",INDEX(Customers!$E$5:$E$204,MATCH(LARGE(Customers!$F$5:$F$204,7),Customers!$F$5:$F$204,0)))</f>
      </c>
      <c r="E19" s="20">
        <f>IF(A19="","",IF(C19=0,"",D19/C19))</f>
      </c>
      <c r="F19" s="10">
        <f>IF(A19="","",F18+D19)</f>
      </c>
      <c r="G19" s="20">
        <f>IF(A19="","",F19/E$5)</f>
      </c>
    </row>
    <row r="20" spans="1:7" x14ac:dyDescent="0.25">
      <c r="A20">
        <f>IF(8&gt;COUNT(Customers!$F$5:$F$204),"",8)</f>
      </c>
      <c r="B20">
        <f>IF(A20="","",INDEX(Customers!$A$5:$A$204,MATCH(LARGE(Customers!$F$5:$F$204,8),Customers!$F$5:$F$204,0)))</f>
      </c>
      <c r="C20" s="10">
        <f>IF(A20="","",INDEX(Customers!$B$5:$B$204,MATCH(LARGE(Customers!$F$5:$F$204,8),Customers!$F$5:$F$204,0)))</f>
      </c>
      <c r="D20" s="10">
        <f>IF(A20="","",INDEX(Customers!$E$5:$E$204,MATCH(LARGE(Customers!$F$5:$F$204,8),Customers!$F$5:$F$204,0)))</f>
      </c>
      <c r="E20" s="20">
        <f>IF(A20="","",IF(C20=0,"",D20/C20))</f>
      </c>
      <c r="F20" s="10">
        <f>IF(A20="","",F19+D20)</f>
      </c>
      <c r="G20" s="20">
        <f>IF(A20="","",F20/E$5)</f>
      </c>
    </row>
    <row r="21" spans="1:7" x14ac:dyDescent="0.25">
      <c r="A21">
        <f>IF(9&gt;COUNT(Customers!$F$5:$F$204),"",9)</f>
      </c>
      <c r="B21">
        <f>IF(A21="","",INDEX(Customers!$A$5:$A$204,MATCH(LARGE(Customers!$F$5:$F$204,9),Customers!$F$5:$F$204,0)))</f>
      </c>
      <c r="C21" s="10">
        <f>IF(A21="","",INDEX(Customers!$B$5:$B$204,MATCH(LARGE(Customers!$F$5:$F$204,9),Customers!$F$5:$F$204,0)))</f>
      </c>
      <c r="D21" s="10">
        <f>IF(A21="","",INDEX(Customers!$E$5:$E$204,MATCH(LARGE(Customers!$F$5:$F$204,9),Customers!$F$5:$F$204,0)))</f>
      </c>
      <c r="E21" s="20">
        <f>IF(A21="","",IF(C21=0,"",D21/C21))</f>
      </c>
      <c r="F21" s="10">
        <f>IF(A21="","",F20+D21)</f>
      </c>
      <c r="G21" s="20">
        <f>IF(A21="","",F21/E$5)</f>
      </c>
    </row>
    <row r="22" spans="1:7" x14ac:dyDescent="0.25">
      <c r="A22">
        <f>IF(10&gt;COUNT(Customers!$F$5:$F$204),"",10)</f>
      </c>
      <c r="B22">
        <f>IF(A22="","",INDEX(Customers!$A$5:$A$204,MATCH(LARGE(Customers!$F$5:$F$204,10),Customers!$F$5:$F$204,0)))</f>
      </c>
      <c r="C22" s="10">
        <f>IF(A22="","",INDEX(Customers!$B$5:$B$204,MATCH(LARGE(Customers!$F$5:$F$204,10),Customers!$F$5:$F$204,0)))</f>
      </c>
      <c r="D22" s="10">
        <f>IF(A22="","",INDEX(Customers!$E$5:$E$204,MATCH(LARGE(Customers!$F$5:$F$204,10),Customers!$F$5:$F$204,0)))</f>
      </c>
      <c r="E22" s="20">
        <f>IF(A22="","",IF(C22=0,"",D22/C22))</f>
      </c>
      <c r="F22" s="10">
        <f>IF(A22="","",F21+D22)</f>
      </c>
      <c r="G22" s="20">
        <f>IF(A22="","",F22/E$5)</f>
      </c>
    </row>
    <row r="23" spans="1:7" x14ac:dyDescent="0.25">
      <c r="A23">
        <f>IF(11&gt;COUNT(Customers!$F$5:$F$204),"",11)</f>
      </c>
      <c r="B23">
        <f>IF(A23="","",INDEX(Customers!$A$5:$A$204,MATCH(LARGE(Customers!$F$5:$F$204,11),Customers!$F$5:$F$204,0)))</f>
      </c>
      <c r="C23" s="10">
        <f>IF(A23="","",INDEX(Customers!$B$5:$B$204,MATCH(LARGE(Customers!$F$5:$F$204,11),Customers!$F$5:$F$204,0)))</f>
      </c>
      <c r="D23" s="10">
        <f>IF(A23="","",INDEX(Customers!$E$5:$E$204,MATCH(LARGE(Customers!$F$5:$F$204,11),Customers!$F$5:$F$204,0)))</f>
      </c>
      <c r="E23" s="20">
        <f>IF(A23="","",IF(C23=0,"",D23/C23))</f>
      </c>
      <c r="F23" s="10">
        <f>IF(A23="","",F22+D23)</f>
      </c>
      <c r="G23" s="20">
        <f>IF(A23="","",F23/E$5)</f>
      </c>
    </row>
    <row r="24" spans="1:7" x14ac:dyDescent="0.25">
      <c r="A24">
        <f>IF(12&gt;COUNT(Customers!$F$5:$F$204),"",12)</f>
      </c>
      <c r="B24">
        <f>IF(A24="","",INDEX(Customers!$A$5:$A$204,MATCH(LARGE(Customers!$F$5:$F$204,12),Customers!$F$5:$F$204,0)))</f>
      </c>
      <c r="C24" s="10">
        <f>IF(A24="","",INDEX(Customers!$B$5:$B$204,MATCH(LARGE(Customers!$F$5:$F$204,12),Customers!$F$5:$F$204,0)))</f>
      </c>
      <c r="D24" s="10">
        <f>IF(A24="","",INDEX(Customers!$E$5:$E$204,MATCH(LARGE(Customers!$F$5:$F$204,12),Customers!$F$5:$F$204,0)))</f>
      </c>
      <c r="E24" s="20">
        <f>IF(A24="","",IF(C24=0,"",D24/C24))</f>
      </c>
      <c r="F24" s="10">
        <f>IF(A24="","",F23+D24)</f>
      </c>
      <c r="G24" s="20">
        <f>IF(A24="","",F24/E$5)</f>
      </c>
    </row>
    <row r="25" spans="1:7" x14ac:dyDescent="0.25">
      <c r="A25">
        <f>IF(13&gt;COUNT(Customers!$F$5:$F$204),"",13)</f>
      </c>
      <c r="B25">
        <f>IF(A25="","",INDEX(Customers!$A$5:$A$204,MATCH(LARGE(Customers!$F$5:$F$204,13),Customers!$F$5:$F$204,0)))</f>
      </c>
      <c r="C25" s="10">
        <f>IF(A25="","",INDEX(Customers!$B$5:$B$204,MATCH(LARGE(Customers!$F$5:$F$204,13),Customers!$F$5:$F$204,0)))</f>
      </c>
      <c r="D25" s="10">
        <f>IF(A25="","",INDEX(Customers!$E$5:$E$204,MATCH(LARGE(Customers!$F$5:$F$204,13),Customers!$F$5:$F$204,0)))</f>
      </c>
      <c r="E25" s="20">
        <f>IF(A25="","",IF(C25=0,"",D25/C25))</f>
      </c>
      <c r="F25" s="10">
        <f>IF(A25="","",F24+D25)</f>
      </c>
      <c r="G25" s="20">
        <f>IF(A25="","",F25/E$5)</f>
      </c>
    </row>
    <row r="26" spans="1:7" x14ac:dyDescent="0.25">
      <c r="A26">
        <f>IF(14&gt;COUNT(Customers!$F$5:$F$204),"",14)</f>
      </c>
      <c r="B26">
        <f>IF(A26="","",INDEX(Customers!$A$5:$A$204,MATCH(LARGE(Customers!$F$5:$F$204,14),Customers!$F$5:$F$204,0)))</f>
      </c>
      <c r="C26" s="10">
        <f>IF(A26="","",INDEX(Customers!$B$5:$B$204,MATCH(LARGE(Customers!$F$5:$F$204,14),Customers!$F$5:$F$204,0)))</f>
      </c>
      <c r="D26" s="10">
        <f>IF(A26="","",INDEX(Customers!$E$5:$E$204,MATCH(LARGE(Customers!$F$5:$F$204,14),Customers!$F$5:$F$204,0)))</f>
      </c>
      <c r="E26" s="20">
        <f>IF(A26="","",IF(C26=0,"",D26/C26))</f>
      </c>
      <c r="F26" s="10">
        <f>IF(A26="","",F25+D26)</f>
      </c>
      <c r="G26" s="20">
        <f>IF(A26="","",F26/E$5)</f>
      </c>
    </row>
    <row r="27" spans="1:7" x14ac:dyDescent="0.25">
      <c r="A27">
        <f>IF(15&gt;COUNT(Customers!$F$5:$F$204),"",15)</f>
      </c>
      <c r="B27">
        <f>IF(A27="","",INDEX(Customers!$A$5:$A$204,MATCH(LARGE(Customers!$F$5:$F$204,15),Customers!$F$5:$F$204,0)))</f>
      </c>
      <c r="C27" s="10">
        <f>IF(A27="","",INDEX(Customers!$B$5:$B$204,MATCH(LARGE(Customers!$F$5:$F$204,15),Customers!$F$5:$F$204,0)))</f>
      </c>
      <c r="D27" s="10">
        <f>IF(A27="","",INDEX(Customers!$E$5:$E$204,MATCH(LARGE(Customers!$F$5:$F$204,15),Customers!$F$5:$F$204,0)))</f>
      </c>
      <c r="E27" s="20">
        <f>IF(A27="","",IF(C27=0,"",D27/C27))</f>
      </c>
      <c r="F27" s="10">
        <f>IF(A27="","",F26+D27)</f>
      </c>
      <c r="G27" s="20">
        <f>IF(A27="","",F27/E$5)</f>
      </c>
    </row>
    <row r="28" spans="1:7" x14ac:dyDescent="0.25">
      <c r="A28">
        <f>IF(16&gt;COUNT(Customers!$F$5:$F$204),"",16)</f>
      </c>
      <c r="B28">
        <f>IF(A28="","",INDEX(Customers!$A$5:$A$204,MATCH(LARGE(Customers!$F$5:$F$204,16),Customers!$F$5:$F$204,0)))</f>
      </c>
      <c r="C28" s="10">
        <f>IF(A28="","",INDEX(Customers!$B$5:$B$204,MATCH(LARGE(Customers!$F$5:$F$204,16),Customers!$F$5:$F$204,0)))</f>
      </c>
      <c r="D28" s="10">
        <f>IF(A28="","",INDEX(Customers!$E$5:$E$204,MATCH(LARGE(Customers!$F$5:$F$204,16),Customers!$F$5:$F$204,0)))</f>
      </c>
      <c r="E28" s="20">
        <f>IF(A28="","",IF(C28=0,"",D28/C28))</f>
      </c>
      <c r="F28" s="10">
        <f>IF(A28="","",F27+D28)</f>
      </c>
      <c r="G28" s="20">
        <f>IF(A28="","",F28/E$5)</f>
      </c>
    </row>
    <row r="29" spans="1:7" x14ac:dyDescent="0.25">
      <c r="A29">
        <f>IF(17&gt;COUNT(Customers!$F$5:$F$204),"",17)</f>
      </c>
      <c r="B29">
        <f>IF(A29="","",INDEX(Customers!$A$5:$A$204,MATCH(LARGE(Customers!$F$5:$F$204,17),Customers!$F$5:$F$204,0)))</f>
      </c>
      <c r="C29" s="10">
        <f>IF(A29="","",INDEX(Customers!$B$5:$B$204,MATCH(LARGE(Customers!$F$5:$F$204,17),Customers!$F$5:$F$204,0)))</f>
      </c>
      <c r="D29" s="10">
        <f>IF(A29="","",INDEX(Customers!$E$5:$E$204,MATCH(LARGE(Customers!$F$5:$F$204,17),Customers!$F$5:$F$204,0)))</f>
      </c>
      <c r="E29" s="20">
        <f>IF(A29="","",IF(C29=0,"",D29/C29))</f>
      </c>
      <c r="F29" s="10">
        <f>IF(A29="","",F28+D29)</f>
      </c>
      <c r="G29" s="20">
        <f>IF(A29="","",F29/E$5)</f>
      </c>
    </row>
    <row r="30" spans="1:7" x14ac:dyDescent="0.25">
      <c r="A30">
        <f>IF(18&gt;COUNT(Customers!$F$5:$F$204),"",18)</f>
      </c>
      <c r="B30">
        <f>IF(A30="","",INDEX(Customers!$A$5:$A$204,MATCH(LARGE(Customers!$F$5:$F$204,18),Customers!$F$5:$F$204,0)))</f>
      </c>
      <c r="C30" s="10">
        <f>IF(A30="","",INDEX(Customers!$B$5:$B$204,MATCH(LARGE(Customers!$F$5:$F$204,18),Customers!$F$5:$F$204,0)))</f>
      </c>
      <c r="D30" s="10">
        <f>IF(A30="","",INDEX(Customers!$E$5:$E$204,MATCH(LARGE(Customers!$F$5:$F$204,18),Customers!$F$5:$F$204,0)))</f>
      </c>
      <c r="E30" s="20">
        <f>IF(A30="","",IF(C30=0,"",D30/C30))</f>
      </c>
      <c r="F30" s="10">
        <f>IF(A30="","",F29+D30)</f>
      </c>
      <c r="G30" s="20">
        <f>IF(A30="","",F30/E$5)</f>
      </c>
    </row>
    <row r="31" spans="1:7" x14ac:dyDescent="0.25">
      <c r="A31">
        <f>IF(19&gt;COUNT(Customers!$F$5:$F$204),"",19)</f>
      </c>
      <c r="B31">
        <f>IF(A31="","",INDEX(Customers!$A$5:$A$204,MATCH(LARGE(Customers!$F$5:$F$204,19),Customers!$F$5:$F$204,0)))</f>
      </c>
      <c r="C31" s="10">
        <f>IF(A31="","",INDEX(Customers!$B$5:$B$204,MATCH(LARGE(Customers!$F$5:$F$204,19),Customers!$F$5:$F$204,0)))</f>
      </c>
      <c r="D31" s="10">
        <f>IF(A31="","",INDEX(Customers!$E$5:$E$204,MATCH(LARGE(Customers!$F$5:$F$204,19),Customers!$F$5:$F$204,0)))</f>
      </c>
      <c r="E31" s="20">
        <f>IF(A31="","",IF(C31=0,"",D31/C31))</f>
      </c>
      <c r="F31" s="10">
        <f>IF(A31="","",F30+D31)</f>
      </c>
      <c r="G31" s="20">
        <f>IF(A31="","",F31/E$5)</f>
      </c>
    </row>
    <row r="32" spans="1:7" x14ac:dyDescent="0.25">
      <c r="A32">
        <f>IF(20&gt;COUNT(Customers!$F$5:$F$204),"",20)</f>
      </c>
      <c r="B32">
        <f>IF(A32="","",INDEX(Customers!$A$5:$A$204,MATCH(LARGE(Customers!$F$5:$F$204,20),Customers!$F$5:$F$204,0)))</f>
      </c>
      <c r="C32" s="10">
        <f>IF(A32="","",INDEX(Customers!$B$5:$B$204,MATCH(LARGE(Customers!$F$5:$F$204,20),Customers!$F$5:$F$204,0)))</f>
      </c>
      <c r="D32" s="10">
        <f>IF(A32="","",INDEX(Customers!$E$5:$E$204,MATCH(LARGE(Customers!$F$5:$F$204,20),Customers!$F$5:$F$204,0)))</f>
      </c>
      <c r="E32" s="20">
        <f>IF(A32="","",IF(C32=0,"",D32/C32))</f>
      </c>
      <c r="F32" s="10">
        <f>IF(A32="","",F31+D32)</f>
      </c>
      <c r="G32" s="20">
        <f>IF(A32="","",F32/E$5)</f>
      </c>
    </row>
    <row r="33" spans="1:7" x14ac:dyDescent="0.25">
      <c r="A33">
        <f>IF(21&gt;COUNT(Customers!$F$5:$F$204),"",21)</f>
      </c>
      <c r="B33">
        <f>IF(A33="","",INDEX(Customers!$A$5:$A$204,MATCH(LARGE(Customers!$F$5:$F$204,21),Customers!$F$5:$F$204,0)))</f>
      </c>
      <c r="C33" s="10">
        <f>IF(A33="","",INDEX(Customers!$B$5:$B$204,MATCH(LARGE(Customers!$F$5:$F$204,21),Customers!$F$5:$F$204,0)))</f>
      </c>
      <c r="D33" s="10">
        <f>IF(A33="","",INDEX(Customers!$E$5:$E$204,MATCH(LARGE(Customers!$F$5:$F$204,21),Customers!$F$5:$F$204,0)))</f>
      </c>
      <c r="E33" s="20">
        <f>IF(A33="","",IF(C33=0,"",D33/C33))</f>
      </c>
      <c r="F33" s="10">
        <f>IF(A33="","",F32+D33)</f>
      </c>
      <c r="G33" s="20">
        <f>IF(A33="","",F33/E$5)</f>
      </c>
    </row>
    <row r="34" spans="1:7" x14ac:dyDescent="0.25">
      <c r="A34">
        <f>IF(22&gt;COUNT(Customers!$F$5:$F$204),"",22)</f>
      </c>
      <c r="B34">
        <f>IF(A34="","",INDEX(Customers!$A$5:$A$204,MATCH(LARGE(Customers!$F$5:$F$204,22),Customers!$F$5:$F$204,0)))</f>
      </c>
      <c r="C34" s="10">
        <f>IF(A34="","",INDEX(Customers!$B$5:$B$204,MATCH(LARGE(Customers!$F$5:$F$204,22),Customers!$F$5:$F$204,0)))</f>
      </c>
      <c r="D34" s="10">
        <f>IF(A34="","",INDEX(Customers!$E$5:$E$204,MATCH(LARGE(Customers!$F$5:$F$204,22),Customers!$F$5:$F$204,0)))</f>
      </c>
      <c r="E34" s="20">
        <f>IF(A34="","",IF(C34=0,"",D34/C34))</f>
      </c>
      <c r="F34" s="10">
        <f>IF(A34="","",F33+D34)</f>
      </c>
      <c r="G34" s="20">
        <f>IF(A34="","",F34/E$5)</f>
      </c>
    </row>
    <row r="35" spans="1:7" x14ac:dyDescent="0.25">
      <c r="A35">
        <f>IF(23&gt;COUNT(Customers!$F$5:$F$204),"",23)</f>
      </c>
      <c r="B35">
        <f>IF(A35="","",INDEX(Customers!$A$5:$A$204,MATCH(LARGE(Customers!$F$5:$F$204,23),Customers!$F$5:$F$204,0)))</f>
      </c>
      <c r="C35" s="10">
        <f>IF(A35="","",INDEX(Customers!$B$5:$B$204,MATCH(LARGE(Customers!$F$5:$F$204,23),Customers!$F$5:$F$204,0)))</f>
      </c>
      <c r="D35" s="10">
        <f>IF(A35="","",INDEX(Customers!$E$5:$E$204,MATCH(LARGE(Customers!$F$5:$F$204,23),Customers!$F$5:$F$204,0)))</f>
      </c>
      <c r="E35" s="20">
        <f>IF(A35="","",IF(C35=0,"",D35/C35))</f>
      </c>
      <c r="F35" s="10">
        <f>IF(A35="","",F34+D35)</f>
      </c>
      <c r="G35" s="20">
        <f>IF(A35="","",F35/E$5)</f>
      </c>
    </row>
    <row r="36" spans="1:7" x14ac:dyDescent="0.25">
      <c r="A36">
        <f>IF(24&gt;COUNT(Customers!$F$5:$F$204),"",24)</f>
      </c>
      <c r="B36">
        <f>IF(A36="","",INDEX(Customers!$A$5:$A$204,MATCH(LARGE(Customers!$F$5:$F$204,24),Customers!$F$5:$F$204,0)))</f>
      </c>
      <c r="C36" s="10">
        <f>IF(A36="","",INDEX(Customers!$B$5:$B$204,MATCH(LARGE(Customers!$F$5:$F$204,24),Customers!$F$5:$F$204,0)))</f>
      </c>
      <c r="D36" s="10">
        <f>IF(A36="","",INDEX(Customers!$E$5:$E$204,MATCH(LARGE(Customers!$F$5:$F$204,24),Customers!$F$5:$F$204,0)))</f>
      </c>
      <c r="E36" s="20">
        <f>IF(A36="","",IF(C36=0,"",D36/C36))</f>
      </c>
      <c r="F36" s="10">
        <f>IF(A36="","",F35+D36)</f>
      </c>
      <c r="G36" s="20">
        <f>IF(A36="","",F36/E$5)</f>
      </c>
    </row>
    <row r="37" spans="1:7" x14ac:dyDescent="0.25">
      <c r="A37">
        <f>IF(25&gt;COUNT(Customers!$F$5:$F$204),"",25)</f>
      </c>
      <c r="B37">
        <f>IF(A37="","",INDEX(Customers!$A$5:$A$204,MATCH(LARGE(Customers!$F$5:$F$204,25),Customers!$F$5:$F$204,0)))</f>
      </c>
      <c r="C37" s="10">
        <f>IF(A37="","",INDEX(Customers!$B$5:$B$204,MATCH(LARGE(Customers!$F$5:$F$204,25),Customers!$F$5:$F$204,0)))</f>
      </c>
      <c r="D37" s="10">
        <f>IF(A37="","",INDEX(Customers!$E$5:$E$204,MATCH(LARGE(Customers!$F$5:$F$204,25),Customers!$F$5:$F$204,0)))</f>
      </c>
      <c r="E37" s="20">
        <f>IF(A37="","",IF(C37=0,"",D37/C37))</f>
      </c>
      <c r="F37" s="10">
        <f>IF(A37="","",F36+D37)</f>
      </c>
      <c r="G37" s="20">
        <f>IF(A37="","",F37/E$5)</f>
      </c>
    </row>
    <row r="38" spans="1:7" x14ac:dyDescent="0.25">
      <c r="A38">
        <f>IF(26&gt;COUNT(Customers!$F$5:$F$204),"",26)</f>
      </c>
      <c r="B38">
        <f>IF(A38="","",INDEX(Customers!$A$5:$A$204,MATCH(LARGE(Customers!$F$5:$F$204,26),Customers!$F$5:$F$204,0)))</f>
      </c>
      <c r="C38" s="10">
        <f>IF(A38="","",INDEX(Customers!$B$5:$B$204,MATCH(LARGE(Customers!$F$5:$F$204,26),Customers!$F$5:$F$204,0)))</f>
      </c>
      <c r="D38" s="10">
        <f>IF(A38="","",INDEX(Customers!$E$5:$E$204,MATCH(LARGE(Customers!$F$5:$F$204,26),Customers!$F$5:$F$204,0)))</f>
      </c>
      <c r="E38" s="20">
        <f>IF(A38="","",IF(C38=0,"",D38/C38))</f>
      </c>
      <c r="F38" s="10">
        <f>IF(A38="","",F37+D38)</f>
      </c>
      <c r="G38" s="20">
        <f>IF(A38="","",F38/E$5)</f>
      </c>
    </row>
    <row r="39" spans="1:7" x14ac:dyDescent="0.25">
      <c r="A39">
        <f>IF(27&gt;COUNT(Customers!$F$5:$F$204),"",27)</f>
      </c>
      <c r="B39">
        <f>IF(A39="","",INDEX(Customers!$A$5:$A$204,MATCH(LARGE(Customers!$F$5:$F$204,27),Customers!$F$5:$F$204,0)))</f>
      </c>
      <c r="C39" s="10">
        <f>IF(A39="","",INDEX(Customers!$B$5:$B$204,MATCH(LARGE(Customers!$F$5:$F$204,27),Customers!$F$5:$F$204,0)))</f>
      </c>
      <c r="D39" s="10">
        <f>IF(A39="","",INDEX(Customers!$E$5:$E$204,MATCH(LARGE(Customers!$F$5:$F$204,27),Customers!$F$5:$F$204,0)))</f>
      </c>
      <c r="E39" s="20">
        <f>IF(A39="","",IF(C39=0,"",D39/C39))</f>
      </c>
      <c r="F39" s="10">
        <f>IF(A39="","",F38+D39)</f>
      </c>
      <c r="G39" s="20">
        <f>IF(A39="","",F39/E$5)</f>
      </c>
    </row>
    <row r="40" spans="1:7" x14ac:dyDescent="0.25">
      <c r="A40">
        <f>IF(28&gt;COUNT(Customers!$F$5:$F$204),"",28)</f>
      </c>
      <c r="B40">
        <f>IF(A40="","",INDEX(Customers!$A$5:$A$204,MATCH(LARGE(Customers!$F$5:$F$204,28),Customers!$F$5:$F$204,0)))</f>
      </c>
      <c r="C40" s="10">
        <f>IF(A40="","",INDEX(Customers!$B$5:$B$204,MATCH(LARGE(Customers!$F$5:$F$204,28),Customers!$F$5:$F$204,0)))</f>
      </c>
      <c r="D40" s="10">
        <f>IF(A40="","",INDEX(Customers!$E$5:$E$204,MATCH(LARGE(Customers!$F$5:$F$204,28),Customers!$F$5:$F$204,0)))</f>
      </c>
      <c r="E40" s="20">
        <f>IF(A40="","",IF(C40=0,"",D40/C40))</f>
      </c>
      <c r="F40" s="10">
        <f>IF(A40="","",F39+D40)</f>
      </c>
      <c r="G40" s="20">
        <f>IF(A40="","",F40/E$5)</f>
      </c>
    </row>
    <row r="41" spans="1:7" x14ac:dyDescent="0.25">
      <c r="A41">
        <f>IF(29&gt;COUNT(Customers!$F$5:$F$204),"",29)</f>
      </c>
      <c r="B41">
        <f>IF(A41="","",INDEX(Customers!$A$5:$A$204,MATCH(LARGE(Customers!$F$5:$F$204,29),Customers!$F$5:$F$204,0)))</f>
      </c>
      <c r="C41" s="10">
        <f>IF(A41="","",INDEX(Customers!$B$5:$B$204,MATCH(LARGE(Customers!$F$5:$F$204,29),Customers!$F$5:$F$204,0)))</f>
      </c>
      <c r="D41" s="10">
        <f>IF(A41="","",INDEX(Customers!$E$5:$E$204,MATCH(LARGE(Customers!$F$5:$F$204,29),Customers!$F$5:$F$204,0)))</f>
      </c>
      <c r="E41" s="20">
        <f>IF(A41="","",IF(C41=0,"",D41/C41))</f>
      </c>
      <c r="F41" s="10">
        <f>IF(A41="","",F40+D41)</f>
      </c>
      <c r="G41" s="20">
        <f>IF(A41="","",F41/E$5)</f>
      </c>
    </row>
    <row r="42" spans="1:7" x14ac:dyDescent="0.25">
      <c r="A42">
        <f>IF(30&gt;COUNT(Customers!$F$5:$F$204),"",30)</f>
      </c>
      <c r="B42">
        <f>IF(A42="","",INDEX(Customers!$A$5:$A$204,MATCH(LARGE(Customers!$F$5:$F$204,30),Customers!$F$5:$F$204,0)))</f>
      </c>
      <c r="C42" s="10">
        <f>IF(A42="","",INDEX(Customers!$B$5:$B$204,MATCH(LARGE(Customers!$F$5:$F$204,30),Customers!$F$5:$F$204,0)))</f>
      </c>
      <c r="D42" s="10">
        <f>IF(A42="","",INDEX(Customers!$E$5:$E$204,MATCH(LARGE(Customers!$F$5:$F$204,30),Customers!$F$5:$F$204,0)))</f>
      </c>
      <c r="E42" s="20">
        <f>IF(A42="","",IF(C42=0,"",D42/C42))</f>
      </c>
      <c r="F42" s="10">
        <f>IF(A42="","",F41+D42)</f>
      </c>
      <c r="G42" s="20">
        <f>IF(A42="","",F42/E$5)</f>
      </c>
    </row>
    <row r="43" spans="1:7" x14ac:dyDescent="0.25">
      <c r="A43">
        <f>IF(31&gt;COUNT(Customers!$F$5:$F$204),"",31)</f>
      </c>
      <c r="B43">
        <f>IF(A43="","",INDEX(Customers!$A$5:$A$204,MATCH(LARGE(Customers!$F$5:$F$204,31),Customers!$F$5:$F$204,0)))</f>
      </c>
      <c r="C43" s="10">
        <f>IF(A43="","",INDEX(Customers!$B$5:$B$204,MATCH(LARGE(Customers!$F$5:$F$204,31),Customers!$F$5:$F$204,0)))</f>
      </c>
      <c r="D43" s="10">
        <f>IF(A43="","",INDEX(Customers!$E$5:$E$204,MATCH(LARGE(Customers!$F$5:$F$204,31),Customers!$F$5:$F$204,0)))</f>
      </c>
      <c r="E43" s="20">
        <f>IF(A43="","",IF(C43=0,"",D43/C43))</f>
      </c>
      <c r="F43" s="10">
        <f>IF(A43="","",F42+D43)</f>
      </c>
      <c r="G43" s="20">
        <f>IF(A43="","",F43/E$5)</f>
      </c>
    </row>
    <row r="44" spans="1:7" x14ac:dyDescent="0.25">
      <c r="A44">
        <f>IF(32&gt;COUNT(Customers!$F$5:$F$204),"",32)</f>
      </c>
      <c r="B44">
        <f>IF(A44="","",INDEX(Customers!$A$5:$A$204,MATCH(LARGE(Customers!$F$5:$F$204,32),Customers!$F$5:$F$204,0)))</f>
      </c>
      <c r="C44" s="10">
        <f>IF(A44="","",INDEX(Customers!$B$5:$B$204,MATCH(LARGE(Customers!$F$5:$F$204,32),Customers!$F$5:$F$204,0)))</f>
      </c>
      <c r="D44" s="10">
        <f>IF(A44="","",INDEX(Customers!$E$5:$E$204,MATCH(LARGE(Customers!$F$5:$F$204,32),Customers!$F$5:$F$204,0)))</f>
      </c>
      <c r="E44" s="20">
        <f>IF(A44="","",IF(C44=0,"",D44/C44))</f>
      </c>
      <c r="F44" s="10">
        <f>IF(A44="","",F43+D44)</f>
      </c>
      <c r="G44" s="20">
        <f>IF(A44="","",F44/E$5)</f>
      </c>
    </row>
    <row r="45" spans="1:7" x14ac:dyDescent="0.25">
      <c r="A45">
        <f>IF(33&gt;COUNT(Customers!$F$5:$F$204),"",33)</f>
      </c>
      <c r="B45">
        <f>IF(A45="","",INDEX(Customers!$A$5:$A$204,MATCH(LARGE(Customers!$F$5:$F$204,33),Customers!$F$5:$F$204,0)))</f>
      </c>
      <c r="C45" s="10">
        <f>IF(A45="","",INDEX(Customers!$B$5:$B$204,MATCH(LARGE(Customers!$F$5:$F$204,33),Customers!$F$5:$F$204,0)))</f>
      </c>
      <c r="D45" s="10">
        <f>IF(A45="","",INDEX(Customers!$E$5:$E$204,MATCH(LARGE(Customers!$F$5:$F$204,33),Customers!$F$5:$F$204,0)))</f>
      </c>
      <c r="E45" s="20">
        <f>IF(A45="","",IF(C45=0,"",D45/C45))</f>
      </c>
      <c r="F45" s="10">
        <f>IF(A45="","",F44+D45)</f>
      </c>
      <c r="G45" s="20">
        <f>IF(A45="","",F45/E$5)</f>
      </c>
    </row>
    <row r="46" spans="1:7" x14ac:dyDescent="0.25">
      <c r="A46">
        <f>IF(34&gt;COUNT(Customers!$F$5:$F$204),"",34)</f>
      </c>
      <c r="B46">
        <f>IF(A46="","",INDEX(Customers!$A$5:$A$204,MATCH(LARGE(Customers!$F$5:$F$204,34),Customers!$F$5:$F$204,0)))</f>
      </c>
      <c r="C46" s="10">
        <f>IF(A46="","",INDEX(Customers!$B$5:$B$204,MATCH(LARGE(Customers!$F$5:$F$204,34),Customers!$F$5:$F$204,0)))</f>
      </c>
      <c r="D46" s="10">
        <f>IF(A46="","",INDEX(Customers!$E$5:$E$204,MATCH(LARGE(Customers!$F$5:$F$204,34),Customers!$F$5:$F$204,0)))</f>
      </c>
      <c r="E46" s="20">
        <f>IF(A46="","",IF(C46=0,"",D46/C46))</f>
      </c>
      <c r="F46" s="10">
        <f>IF(A46="","",F45+D46)</f>
      </c>
      <c r="G46" s="20">
        <f>IF(A46="","",F46/E$5)</f>
      </c>
    </row>
    <row r="47" spans="1:7" x14ac:dyDescent="0.25">
      <c r="A47">
        <f>IF(35&gt;COUNT(Customers!$F$5:$F$204),"",35)</f>
      </c>
      <c r="B47">
        <f>IF(A47="","",INDEX(Customers!$A$5:$A$204,MATCH(LARGE(Customers!$F$5:$F$204,35),Customers!$F$5:$F$204,0)))</f>
      </c>
      <c r="C47" s="10">
        <f>IF(A47="","",INDEX(Customers!$B$5:$B$204,MATCH(LARGE(Customers!$F$5:$F$204,35),Customers!$F$5:$F$204,0)))</f>
      </c>
      <c r="D47" s="10">
        <f>IF(A47="","",INDEX(Customers!$E$5:$E$204,MATCH(LARGE(Customers!$F$5:$F$204,35),Customers!$F$5:$F$204,0)))</f>
      </c>
      <c r="E47" s="20">
        <f>IF(A47="","",IF(C47=0,"",D47/C47))</f>
      </c>
      <c r="F47" s="10">
        <f>IF(A47="","",F46+D47)</f>
      </c>
      <c r="G47" s="20">
        <f>IF(A47="","",F47/E$5)</f>
      </c>
    </row>
    <row r="48" spans="1:7" x14ac:dyDescent="0.25">
      <c r="A48">
        <f>IF(36&gt;COUNT(Customers!$F$5:$F$204),"",36)</f>
      </c>
      <c r="B48">
        <f>IF(A48="","",INDEX(Customers!$A$5:$A$204,MATCH(LARGE(Customers!$F$5:$F$204,36),Customers!$F$5:$F$204,0)))</f>
      </c>
      <c r="C48" s="10">
        <f>IF(A48="","",INDEX(Customers!$B$5:$B$204,MATCH(LARGE(Customers!$F$5:$F$204,36),Customers!$F$5:$F$204,0)))</f>
      </c>
      <c r="D48" s="10">
        <f>IF(A48="","",INDEX(Customers!$E$5:$E$204,MATCH(LARGE(Customers!$F$5:$F$204,36),Customers!$F$5:$F$204,0)))</f>
      </c>
      <c r="E48" s="20">
        <f>IF(A48="","",IF(C48=0,"",D48/C48))</f>
      </c>
      <c r="F48" s="10">
        <f>IF(A48="","",F47+D48)</f>
      </c>
      <c r="G48" s="20">
        <f>IF(A48="","",F48/E$5)</f>
      </c>
    </row>
    <row r="49" spans="1:7" x14ac:dyDescent="0.25">
      <c r="A49">
        <f>IF(37&gt;COUNT(Customers!$F$5:$F$204),"",37)</f>
      </c>
      <c r="B49">
        <f>IF(A49="","",INDEX(Customers!$A$5:$A$204,MATCH(LARGE(Customers!$F$5:$F$204,37),Customers!$F$5:$F$204,0)))</f>
      </c>
      <c r="C49" s="10">
        <f>IF(A49="","",INDEX(Customers!$B$5:$B$204,MATCH(LARGE(Customers!$F$5:$F$204,37),Customers!$F$5:$F$204,0)))</f>
      </c>
      <c r="D49" s="10">
        <f>IF(A49="","",INDEX(Customers!$E$5:$E$204,MATCH(LARGE(Customers!$F$5:$F$204,37),Customers!$F$5:$F$204,0)))</f>
      </c>
      <c r="E49" s="20">
        <f>IF(A49="","",IF(C49=0,"",D49/C49))</f>
      </c>
      <c r="F49" s="10">
        <f>IF(A49="","",F48+D49)</f>
      </c>
      <c r="G49" s="20">
        <f>IF(A49="","",F49/E$5)</f>
      </c>
    </row>
    <row r="50" spans="1:7" x14ac:dyDescent="0.25">
      <c r="A50">
        <f>IF(38&gt;COUNT(Customers!$F$5:$F$204),"",38)</f>
      </c>
      <c r="B50">
        <f>IF(A50="","",INDEX(Customers!$A$5:$A$204,MATCH(LARGE(Customers!$F$5:$F$204,38),Customers!$F$5:$F$204,0)))</f>
      </c>
      <c r="C50" s="10">
        <f>IF(A50="","",INDEX(Customers!$B$5:$B$204,MATCH(LARGE(Customers!$F$5:$F$204,38),Customers!$F$5:$F$204,0)))</f>
      </c>
      <c r="D50" s="10">
        <f>IF(A50="","",INDEX(Customers!$E$5:$E$204,MATCH(LARGE(Customers!$F$5:$F$204,38),Customers!$F$5:$F$204,0)))</f>
      </c>
      <c r="E50" s="20">
        <f>IF(A50="","",IF(C50=0,"",D50/C50))</f>
      </c>
      <c r="F50" s="10">
        <f>IF(A50="","",F49+D50)</f>
      </c>
      <c r="G50" s="20">
        <f>IF(A50="","",F50/E$5)</f>
      </c>
    </row>
    <row r="51" spans="1:7" x14ac:dyDescent="0.25">
      <c r="A51">
        <f>IF(39&gt;COUNT(Customers!$F$5:$F$204),"",39)</f>
      </c>
      <c r="B51">
        <f>IF(A51="","",INDEX(Customers!$A$5:$A$204,MATCH(LARGE(Customers!$F$5:$F$204,39),Customers!$F$5:$F$204,0)))</f>
      </c>
      <c r="C51" s="10">
        <f>IF(A51="","",INDEX(Customers!$B$5:$B$204,MATCH(LARGE(Customers!$F$5:$F$204,39),Customers!$F$5:$F$204,0)))</f>
      </c>
      <c r="D51" s="10">
        <f>IF(A51="","",INDEX(Customers!$E$5:$E$204,MATCH(LARGE(Customers!$F$5:$F$204,39),Customers!$F$5:$F$204,0)))</f>
      </c>
      <c r="E51" s="20">
        <f>IF(A51="","",IF(C51=0,"",D51/C51))</f>
      </c>
      <c r="F51" s="10">
        <f>IF(A51="","",F50+D51)</f>
      </c>
      <c r="G51" s="20">
        <f>IF(A51="","",F51/E$5)</f>
      </c>
    </row>
    <row r="52" spans="1:7" x14ac:dyDescent="0.25">
      <c r="A52">
        <f>IF(40&gt;COUNT(Customers!$F$5:$F$204),"",40)</f>
      </c>
      <c r="B52">
        <f>IF(A52="","",INDEX(Customers!$A$5:$A$204,MATCH(LARGE(Customers!$F$5:$F$204,40),Customers!$F$5:$F$204,0)))</f>
      </c>
      <c r="C52" s="10">
        <f>IF(A52="","",INDEX(Customers!$B$5:$B$204,MATCH(LARGE(Customers!$F$5:$F$204,40),Customers!$F$5:$F$204,0)))</f>
      </c>
      <c r="D52" s="10">
        <f>IF(A52="","",INDEX(Customers!$E$5:$E$204,MATCH(LARGE(Customers!$F$5:$F$204,40),Customers!$F$5:$F$204,0)))</f>
      </c>
      <c r="E52" s="20">
        <f>IF(A52="","",IF(C52=0,"",D52/C52))</f>
      </c>
      <c r="F52" s="10">
        <f>IF(A52="","",F51+D52)</f>
      </c>
      <c r="G52" s="20">
        <f>IF(A52="","",F52/E$5)</f>
      </c>
    </row>
    <row r="53" spans="1:7" x14ac:dyDescent="0.25">
      <c r="A53">
        <f>IF(41&gt;COUNT(Customers!$F$5:$F$204),"",41)</f>
      </c>
      <c r="B53">
        <f>IF(A53="","",INDEX(Customers!$A$5:$A$204,MATCH(LARGE(Customers!$F$5:$F$204,41),Customers!$F$5:$F$204,0)))</f>
      </c>
      <c r="C53" s="10">
        <f>IF(A53="","",INDEX(Customers!$B$5:$B$204,MATCH(LARGE(Customers!$F$5:$F$204,41),Customers!$F$5:$F$204,0)))</f>
      </c>
      <c r="D53" s="10">
        <f>IF(A53="","",INDEX(Customers!$E$5:$E$204,MATCH(LARGE(Customers!$F$5:$F$204,41),Customers!$F$5:$F$204,0)))</f>
      </c>
      <c r="E53" s="20">
        <f>IF(A53="","",IF(C53=0,"",D53/C53))</f>
      </c>
      <c r="F53" s="10">
        <f>IF(A53="","",F52+D53)</f>
      </c>
      <c r="G53" s="20">
        <f>IF(A53="","",F53/E$5)</f>
      </c>
    </row>
    <row r="54" spans="1:7" x14ac:dyDescent="0.25">
      <c r="A54">
        <f>IF(42&gt;COUNT(Customers!$F$5:$F$204),"",42)</f>
      </c>
      <c r="B54">
        <f>IF(A54="","",INDEX(Customers!$A$5:$A$204,MATCH(LARGE(Customers!$F$5:$F$204,42),Customers!$F$5:$F$204,0)))</f>
      </c>
      <c r="C54" s="10">
        <f>IF(A54="","",INDEX(Customers!$B$5:$B$204,MATCH(LARGE(Customers!$F$5:$F$204,42),Customers!$F$5:$F$204,0)))</f>
      </c>
      <c r="D54" s="10">
        <f>IF(A54="","",INDEX(Customers!$E$5:$E$204,MATCH(LARGE(Customers!$F$5:$F$204,42),Customers!$F$5:$F$204,0)))</f>
      </c>
      <c r="E54" s="20">
        <f>IF(A54="","",IF(C54=0,"",D54/C54))</f>
      </c>
      <c r="F54" s="10">
        <f>IF(A54="","",F53+D54)</f>
      </c>
      <c r="G54" s="20">
        <f>IF(A54="","",F54/E$5)</f>
      </c>
    </row>
    <row r="55" spans="1:7" x14ac:dyDescent="0.25">
      <c r="A55">
        <f>IF(43&gt;COUNT(Customers!$F$5:$F$204),"",43)</f>
      </c>
      <c r="B55">
        <f>IF(A55="","",INDEX(Customers!$A$5:$A$204,MATCH(LARGE(Customers!$F$5:$F$204,43),Customers!$F$5:$F$204,0)))</f>
      </c>
      <c r="C55" s="10">
        <f>IF(A55="","",INDEX(Customers!$B$5:$B$204,MATCH(LARGE(Customers!$F$5:$F$204,43),Customers!$F$5:$F$204,0)))</f>
      </c>
      <c r="D55" s="10">
        <f>IF(A55="","",INDEX(Customers!$E$5:$E$204,MATCH(LARGE(Customers!$F$5:$F$204,43),Customers!$F$5:$F$204,0)))</f>
      </c>
      <c r="E55" s="20">
        <f>IF(A55="","",IF(C55=0,"",D55/C55))</f>
      </c>
      <c r="F55" s="10">
        <f>IF(A55="","",F54+D55)</f>
      </c>
      <c r="G55" s="20">
        <f>IF(A55="","",F55/E$5)</f>
      </c>
    </row>
    <row r="56" spans="1:7" x14ac:dyDescent="0.25">
      <c r="A56">
        <f>IF(44&gt;COUNT(Customers!$F$5:$F$204),"",44)</f>
      </c>
      <c r="B56">
        <f>IF(A56="","",INDEX(Customers!$A$5:$A$204,MATCH(LARGE(Customers!$F$5:$F$204,44),Customers!$F$5:$F$204,0)))</f>
      </c>
      <c r="C56" s="10">
        <f>IF(A56="","",INDEX(Customers!$B$5:$B$204,MATCH(LARGE(Customers!$F$5:$F$204,44),Customers!$F$5:$F$204,0)))</f>
      </c>
      <c r="D56" s="10">
        <f>IF(A56="","",INDEX(Customers!$E$5:$E$204,MATCH(LARGE(Customers!$F$5:$F$204,44),Customers!$F$5:$F$204,0)))</f>
      </c>
      <c r="E56" s="20">
        <f>IF(A56="","",IF(C56=0,"",D56/C56))</f>
      </c>
      <c r="F56" s="10">
        <f>IF(A56="","",F55+D56)</f>
      </c>
      <c r="G56" s="20">
        <f>IF(A56="","",F56/E$5)</f>
      </c>
    </row>
    <row r="57" spans="1:7" x14ac:dyDescent="0.25">
      <c r="A57">
        <f>IF(45&gt;COUNT(Customers!$F$5:$F$204),"",45)</f>
      </c>
      <c r="B57">
        <f>IF(A57="","",INDEX(Customers!$A$5:$A$204,MATCH(LARGE(Customers!$F$5:$F$204,45),Customers!$F$5:$F$204,0)))</f>
      </c>
      <c r="C57" s="10">
        <f>IF(A57="","",INDEX(Customers!$B$5:$B$204,MATCH(LARGE(Customers!$F$5:$F$204,45),Customers!$F$5:$F$204,0)))</f>
      </c>
      <c r="D57" s="10">
        <f>IF(A57="","",INDEX(Customers!$E$5:$E$204,MATCH(LARGE(Customers!$F$5:$F$204,45),Customers!$F$5:$F$204,0)))</f>
      </c>
      <c r="E57" s="20">
        <f>IF(A57="","",IF(C57=0,"",D57/C57))</f>
      </c>
      <c r="F57" s="10">
        <f>IF(A57="","",F56+D57)</f>
      </c>
      <c r="G57" s="20">
        <f>IF(A57="","",F57/E$5)</f>
      </c>
    </row>
    <row r="58" spans="1:7" x14ac:dyDescent="0.25">
      <c r="A58">
        <f>IF(46&gt;COUNT(Customers!$F$5:$F$204),"",46)</f>
      </c>
      <c r="B58">
        <f>IF(A58="","",INDEX(Customers!$A$5:$A$204,MATCH(LARGE(Customers!$F$5:$F$204,46),Customers!$F$5:$F$204,0)))</f>
      </c>
      <c r="C58" s="10">
        <f>IF(A58="","",INDEX(Customers!$B$5:$B$204,MATCH(LARGE(Customers!$F$5:$F$204,46),Customers!$F$5:$F$204,0)))</f>
      </c>
      <c r="D58" s="10">
        <f>IF(A58="","",INDEX(Customers!$E$5:$E$204,MATCH(LARGE(Customers!$F$5:$F$204,46),Customers!$F$5:$F$204,0)))</f>
      </c>
      <c r="E58" s="20">
        <f>IF(A58="","",IF(C58=0,"",D58/C58))</f>
      </c>
      <c r="F58" s="10">
        <f>IF(A58="","",F57+D58)</f>
      </c>
      <c r="G58" s="20">
        <f>IF(A58="","",F58/E$5)</f>
      </c>
    </row>
    <row r="59" spans="1:7" x14ac:dyDescent="0.25">
      <c r="A59">
        <f>IF(47&gt;COUNT(Customers!$F$5:$F$204),"",47)</f>
      </c>
      <c r="B59">
        <f>IF(A59="","",INDEX(Customers!$A$5:$A$204,MATCH(LARGE(Customers!$F$5:$F$204,47),Customers!$F$5:$F$204,0)))</f>
      </c>
      <c r="C59" s="10">
        <f>IF(A59="","",INDEX(Customers!$B$5:$B$204,MATCH(LARGE(Customers!$F$5:$F$204,47),Customers!$F$5:$F$204,0)))</f>
      </c>
      <c r="D59" s="10">
        <f>IF(A59="","",INDEX(Customers!$E$5:$E$204,MATCH(LARGE(Customers!$F$5:$F$204,47),Customers!$F$5:$F$204,0)))</f>
      </c>
      <c r="E59" s="20">
        <f>IF(A59="","",IF(C59=0,"",D59/C59))</f>
      </c>
      <c r="F59" s="10">
        <f>IF(A59="","",F58+D59)</f>
      </c>
      <c r="G59" s="20">
        <f>IF(A59="","",F59/E$5)</f>
      </c>
    </row>
    <row r="60" spans="1:7" x14ac:dyDescent="0.25">
      <c r="A60">
        <f>IF(48&gt;COUNT(Customers!$F$5:$F$204),"",48)</f>
      </c>
      <c r="B60">
        <f>IF(A60="","",INDEX(Customers!$A$5:$A$204,MATCH(LARGE(Customers!$F$5:$F$204,48),Customers!$F$5:$F$204,0)))</f>
      </c>
      <c r="C60" s="10">
        <f>IF(A60="","",INDEX(Customers!$B$5:$B$204,MATCH(LARGE(Customers!$F$5:$F$204,48),Customers!$F$5:$F$204,0)))</f>
      </c>
      <c r="D60" s="10">
        <f>IF(A60="","",INDEX(Customers!$E$5:$E$204,MATCH(LARGE(Customers!$F$5:$F$204,48),Customers!$F$5:$F$204,0)))</f>
      </c>
      <c r="E60" s="20">
        <f>IF(A60="","",IF(C60=0,"",D60/C60))</f>
      </c>
      <c r="F60" s="10">
        <f>IF(A60="","",F59+D60)</f>
      </c>
      <c r="G60" s="20">
        <f>IF(A60="","",F60/E$5)</f>
      </c>
    </row>
    <row r="61" spans="1:7" x14ac:dyDescent="0.25">
      <c r="A61">
        <f>IF(49&gt;COUNT(Customers!$F$5:$F$204),"",49)</f>
      </c>
      <c r="B61">
        <f>IF(A61="","",INDEX(Customers!$A$5:$A$204,MATCH(LARGE(Customers!$F$5:$F$204,49),Customers!$F$5:$F$204,0)))</f>
      </c>
      <c r="C61" s="10">
        <f>IF(A61="","",INDEX(Customers!$B$5:$B$204,MATCH(LARGE(Customers!$F$5:$F$204,49),Customers!$F$5:$F$204,0)))</f>
      </c>
      <c r="D61" s="10">
        <f>IF(A61="","",INDEX(Customers!$E$5:$E$204,MATCH(LARGE(Customers!$F$5:$F$204,49),Customers!$F$5:$F$204,0)))</f>
      </c>
      <c r="E61" s="20">
        <f>IF(A61="","",IF(C61=0,"",D61/C61))</f>
      </c>
      <c r="F61" s="10">
        <f>IF(A61="","",F60+D61)</f>
      </c>
      <c r="G61" s="20">
        <f>IF(A61="","",F61/E$5)</f>
      </c>
    </row>
    <row r="62" spans="1:7" x14ac:dyDescent="0.25">
      <c r="A62">
        <f>IF(50&gt;COUNT(Customers!$F$5:$F$204),"",50)</f>
      </c>
      <c r="B62">
        <f>IF(A62="","",INDEX(Customers!$A$5:$A$204,MATCH(LARGE(Customers!$F$5:$F$204,50),Customers!$F$5:$F$204,0)))</f>
      </c>
      <c r="C62" s="10">
        <f>IF(A62="","",INDEX(Customers!$B$5:$B$204,MATCH(LARGE(Customers!$F$5:$F$204,50),Customers!$F$5:$F$204,0)))</f>
      </c>
      <c r="D62" s="10">
        <f>IF(A62="","",INDEX(Customers!$E$5:$E$204,MATCH(LARGE(Customers!$F$5:$F$204,50),Customers!$F$5:$F$204,0)))</f>
      </c>
      <c r="E62" s="20">
        <f>IF(A62="","",IF(C62=0,"",D62/C62))</f>
      </c>
      <c r="F62" s="10">
        <f>IF(A62="","",F61+D62)</f>
      </c>
      <c r="G62" s="20">
        <f>IF(A62="","",F62/E$5)</f>
      </c>
    </row>
    <row r="63" spans="1:7" x14ac:dyDescent="0.25">
      <c r="A63">
        <f>IF(51&gt;COUNT(Customers!$F$5:$F$204),"",51)</f>
      </c>
      <c r="B63">
        <f>IF(A63="","",INDEX(Customers!$A$5:$A$204,MATCH(LARGE(Customers!$F$5:$F$204,51),Customers!$F$5:$F$204,0)))</f>
      </c>
      <c r="C63" s="10">
        <f>IF(A63="","",INDEX(Customers!$B$5:$B$204,MATCH(LARGE(Customers!$F$5:$F$204,51),Customers!$F$5:$F$204,0)))</f>
      </c>
      <c r="D63" s="10">
        <f>IF(A63="","",INDEX(Customers!$E$5:$E$204,MATCH(LARGE(Customers!$F$5:$F$204,51),Customers!$F$5:$F$204,0)))</f>
      </c>
      <c r="E63" s="20">
        <f>IF(A63="","",IF(C63=0,"",D63/C63))</f>
      </c>
      <c r="F63" s="10">
        <f>IF(A63="","",F62+D63)</f>
      </c>
      <c r="G63" s="20">
        <f>IF(A63="","",F63/E$5)</f>
      </c>
    </row>
    <row r="64" spans="1:7" x14ac:dyDescent="0.25">
      <c r="A64">
        <f>IF(52&gt;COUNT(Customers!$F$5:$F$204),"",52)</f>
      </c>
      <c r="B64">
        <f>IF(A64="","",INDEX(Customers!$A$5:$A$204,MATCH(LARGE(Customers!$F$5:$F$204,52),Customers!$F$5:$F$204,0)))</f>
      </c>
      <c r="C64" s="10">
        <f>IF(A64="","",INDEX(Customers!$B$5:$B$204,MATCH(LARGE(Customers!$F$5:$F$204,52),Customers!$F$5:$F$204,0)))</f>
      </c>
      <c r="D64" s="10">
        <f>IF(A64="","",INDEX(Customers!$E$5:$E$204,MATCH(LARGE(Customers!$F$5:$F$204,52),Customers!$F$5:$F$204,0)))</f>
      </c>
      <c r="E64" s="20">
        <f>IF(A64="","",IF(C64=0,"",D64/C64))</f>
      </c>
      <c r="F64" s="10">
        <f>IF(A64="","",F63+D64)</f>
      </c>
      <c r="G64" s="20">
        <f>IF(A64="","",F64/E$5)</f>
      </c>
    </row>
    <row r="65" spans="1:7" x14ac:dyDescent="0.25">
      <c r="A65">
        <f>IF(53&gt;COUNT(Customers!$F$5:$F$204),"",53)</f>
      </c>
      <c r="B65">
        <f>IF(A65="","",INDEX(Customers!$A$5:$A$204,MATCH(LARGE(Customers!$F$5:$F$204,53),Customers!$F$5:$F$204,0)))</f>
      </c>
      <c r="C65" s="10">
        <f>IF(A65="","",INDEX(Customers!$B$5:$B$204,MATCH(LARGE(Customers!$F$5:$F$204,53),Customers!$F$5:$F$204,0)))</f>
      </c>
      <c r="D65" s="10">
        <f>IF(A65="","",INDEX(Customers!$E$5:$E$204,MATCH(LARGE(Customers!$F$5:$F$204,53),Customers!$F$5:$F$204,0)))</f>
      </c>
      <c r="E65" s="20">
        <f>IF(A65="","",IF(C65=0,"",D65/C65))</f>
      </c>
      <c r="F65" s="10">
        <f>IF(A65="","",F64+D65)</f>
      </c>
      <c r="G65" s="20">
        <f>IF(A65="","",F65/E$5)</f>
      </c>
    </row>
    <row r="66" spans="1:7" x14ac:dyDescent="0.25">
      <c r="A66">
        <f>IF(54&gt;COUNT(Customers!$F$5:$F$204),"",54)</f>
      </c>
      <c r="B66">
        <f>IF(A66="","",INDEX(Customers!$A$5:$A$204,MATCH(LARGE(Customers!$F$5:$F$204,54),Customers!$F$5:$F$204,0)))</f>
      </c>
      <c r="C66" s="10">
        <f>IF(A66="","",INDEX(Customers!$B$5:$B$204,MATCH(LARGE(Customers!$F$5:$F$204,54),Customers!$F$5:$F$204,0)))</f>
      </c>
      <c r="D66" s="10">
        <f>IF(A66="","",INDEX(Customers!$E$5:$E$204,MATCH(LARGE(Customers!$F$5:$F$204,54),Customers!$F$5:$F$204,0)))</f>
      </c>
      <c r="E66" s="20">
        <f>IF(A66="","",IF(C66=0,"",D66/C66))</f>
      </c>
      <c r="F66" s="10">
        <f>IF(A66="","",F65+D66)</f>
      </c>
      <c r="G66" s="20">
        <f>IF(A66="","",F66/E$5)</f>
      </c>
    </row>
    <row r="67" spans="1:7" x14ac:dyDescent="0.25">
      <c r="A67">
        <f>IF(55&gt;COUNT(Customers!$F$5:$F$204),"",55)</f>
      </c>
      <c r="B67">
        <f>IF(A67="","",INDEX(Customers!$A$5:$A$204,MATCH(LARGE(Customers!$F$5:$F$204,55),Customers!$F$5:$F$204,0)))</f>
      </c>
      <c r="C67" s="10">
        <f>IF(A67="","",INDEX(Customers!$B$5:$B$204,MATCH(LARGE(Customers!$F$5:$F$204,55),Customers!$F$5:$F$204,0)))</f>
      </c>
      <c r="D67" s="10">
        <f>IF(A67="","",INDEX(Customers!$E$5:$E$204,MATCH(LARGE(Customers!$F$5:$F$204,55),Customers!$F$5:$F$204,0)))</f>
      </c>
      <c r="E67" s="20">
        <f>IF(A67="","",IF(C67=0,"",D67/C67))</f>
      </c>
      <c r="F67" s="10">
        <f>IF(A67="","",F66+D67)</f>
      </c>
      <c r="G67" s="20">
        <f>IF(A67="","",F67/E$5)</f>
      </c>
    </row>
    <row r="68" spans="1:7" x14ac:dyDescent="0.25">
      <c r="A68">
        <f>IF(56&gt;COUNT(Customers!$F$5:$F$204),"",56)</f>
      </c>
      <c r="B68">
        <f>IF(A68="","",INDEX(Customers!$A$5:$A$204,MATCH(LARGE(Customers!$F$5:$F$204,56),Customers!$F$5:$F$204,0)))</f>
      </c>
      <c r="C68" s="10">
        <f>IF(A68="","",INDEX(Customers!$B$5:$B$204,MATCH(LARGE(Customers!$F$5:$F$204,56),Customers!$F$5:$F$204,0)))</f>
      </c>
      <c r="D68" s="10">
        <f>IF(A68="","",INDEX(Customers!$E$5:$E$204,MATCH(LARGE(Customers!$F$5:$F$204,56),Customers!$F$5:$F$204,0)))</f>
      </c>
      <c r="E68" s="20">
        <f>IF(A68="","",IF(C68=0,"",D68/C68))</f>
      </c>
      <c r="F68" s="10">
        <f>IF(A68="","",F67+D68)</f>
      </c>
      <c r="G68" s="20">
        <f>IF(A68="","",F68/E$5)</f>
      </c>
    </row>
    <row r="69" spans="1:7" x14ac:dyDescent="0.25">
      <c r="A69">
        <f>IF(57&gt;COUNT(Customers!$F$5:$F$204),"",57)</f>
      </c>
      <c r="B69">
        <f>IF(A69="","",INDEX(Customers!$A$5:$A$204,MATCH(LARGE(Customers!$F$5:$F$204,57),Customers!$F$5:$F$204,0)))</f>
      </c>
      <c r="C69" s="10">
        <f>IF(A69="","",INDEX(Customers!$B$5:$B$204,MATCH(LARGE(Customers!$F$5:$F$204,57),Customers!$F$5:$F$204,0)))</f>
      </c>
      <c r="D69" s="10">
        <f>IF(A69="","",INDEX(Customers!$E$5:$E$204,MATCH(LARGE(Customers!$F$5:$F$204,57),Customers!$F$5:$F$204,0)))</f>
      </c>
      <c r="E69" s="20">
        <f>IF(A69="","",IF(C69=0,"",D69/C69))</f>
      </c>
      <c r="F69" s="10">
        <f>IF(A69="","",F68+D69)</f>
      </c>
      <c r="G69" s="20">
        <f>IF(A69="","",F69/E$5)</f>
      </c>
    </row>
    <row r="70" spans="1:7" x14ac:dyDescent="0.25">
      <c r="A70">
        <f>IF(58&gt;COUNT(Customers!$F$5:$F$204),"",58)</f>
      </c>
      <c r="B70">
        <f>IF(A70="","",INDEX(Customers!$A$5:$A$204,MATCH(LARGE(Customers!$F$5:$F$204,58),Customers!$F$5:$F$204,0)))</f>
      </c>
      <c r="C70" s="10">
        <f>IF(A70="","",INDEX(Customers!$B$5:$B$204,MATCH(LARGE(Customers!$F$5:$F$204,58),Customers!$F$5:$F$204,0)))</f>
      </c>
      <c r="D70" s="10">
        <f>IF(A70="","",INDEX(Customers!$E$5:$E$204,MATCH(LARGE(Customers!$F$5:$F$204,58),Customers!$F$5:$F$204,0)))</f>
      </c>
      <c r="E70" s="20">
        <f>IF(A70="","",IF(C70=0,"",D70/C70))</f>
      </c>
      <c r="F70" s="10">
        <f>IF(A70="","",F69+D70)</f>
      </c>
      <c r="G70" s="20">
        <f>IF(A70="","",F70/E$5)</f>
      </c>
    </row>
    <row r="71" spans="1:7" x14ac:dyDescent="0.25">
      <c r="A71">
        <f>IF(59&gt;COUNT(Customers!$F$5:$F$204),"",59)</f>
      </c>
      <c r="B71">
        <f>IF(A71="","",INDEX(Customers!$A$5:$A$204,MATCH(LARGE(Customers!$F$5:$F$204,59),Customers!$F$5:$F$204,0)))</f>
      </c>
      <c r="C71" s="10">
        <f>IF(A71="","",INDEX(Customers!$B$5:$B$204,MATCH(LARGE(Customers!$F$5:$F$204,59),Customers!$F$5:$F$204,0)))</f>
      </c>
      <c r="D71" s="10">
        <f>IF(A71="","",INDEX(Customers!$E$5:$E$204,MATCH(LARGE(Customers!$F$5:$F$204,59),Customers!$F$5:$F$204,0)))</f>
      </c>
      <c r="E71" s="20">
        <f>IF(A71="","",IF(C71=0,"",D71/C71))</f>
      </c>
      <c r="F71" s="10">
        <f>IF(A71="","",F70+D71)</f>
      </c>
      <c r="G71" s="20">
        <f>IF(A71="","",F71/E$5)</f>
      </c>
    </row>
    <row r="72" spans="1:7" x14ac:dyDescent="0.25">
      <c r="A72">
        <f>IF(60&gt;COUNT(Customers!$F$5:$F$204),"",60)</f>
      </c>
      <c r="B72">
        <f>IF(A72="","",INDEX(Customers!$A$5:$A$204,MATCH(LARGE(Customers!$F$5:$F$204,60),Customers!$F$5:$F$204,0)))</f>
      </c>
      <c r="C72" s="10">
        <f>IF(A72="","",INDEX(Customers!$B$5:$B$204,MATCH(LARGE(Customers!$F$5:$F$204,60),Customers!$F$5:$F$204,0)))</f>
      </c>
      <c r="D72" s="10">
        <f>IF(A72="","",INDEX(Customers!$E$5:$E$204,MATCH(LARGE(Customers!$F$5:$F$204,60),Customers!$F$5:$F$204,0)))</f>
      </c>
      <c r="E72" s="20">
        <f>IF(A72="","",IF(C72=0,"",D72/C72))</f>
      </c>
      <c r="F72" s="10">
        <f>IF(A72="","",F71+D72)</f>
      </c>
      <c r="G72" s="20">
        <f>IF(A72="","",F72/E$5)</f>
      </c>
    </row>
    <row r="73" spans="1:7" x14ac:dyDescent="0.25">
      <c r="A73">
        <f>IF(61&gt;COUNT(Customers!$F$5:$F$204),"",61)</f>
      </c>
      <c r="B73">
        <f>IF(A73="","",INDEX(Customers!$A$5:$A$204,MATCH(LARGE(Customers!$F$5:$F$204,61),Customers!$F$5:$F$204,0)))</f>
      </c>
      <c r="C73" s="10">
        <f>IF(A73="","",INDEX(Customers!$B$5:$B$204,MATCH(LARGE(Customers!$F$5:$F$204,61),Customers!$F$5:$F$204,0)))</f>
      </c>
      <c r="D73" s="10">
        <f>IF(A73="","",INDEX(Customers!$E$5:$E$204,MATCH(LARGE(Customers!$F$5:$F$204,61),Customers!$F$5:$F$204,0)))</f>
      </c>
      <c r="E73" s="20">
        <f>IF(A73="","",IF(C73=0,"",D73/C73))</f>
      </c>
      <c r="F73" s="10">
        <f>IF(A73="","",F72+D73)</f>
      </c>
      <c r="G73" s="20">
        <f>IF(A73="","",F73/E$5)</f>
      </c>
    </row>
    <row r="74" spans="1:7" x14ac:dyDescent="0.25">
      <c r="A74">
        <f>IF(62&gt;COUNT(Customers!$F$5:$F$204),"",62)</f>
      </c>
      <c r="B74">
        <f>IF(A74="","",INDEX(Customers!$A$5:$A$204,MATCH(LARGE(Customers!$F$5:$F$204,62),Customers!$F$5:$F$204,0)))</f>
      </c>
      <c r="C74" s="10">
        <f>IF(A74="","",INDEX(Customers!$B$5:$B$204,MATCH(LARGE(Customers!$F$5:$F$204,62),Customers!$F$5:$F$204,0)))</f>
      </c>
      <c r="D74" s="10">
        <f>IF(A74="","",INDEX(Customers!$E$5:$E$204,MATCH(LARGE(Customers!$F$5:$F$204,62),Customers!$F$5:$F$204,0)))</f>
      </c>
      <c r="E74" s="20">
        <f>IF(A74="","",IF(C74=0,"",D74/C74))</f>
      </c>
      <c r="F74" s="10">
        <f>IF(A74="","",F73+D74)</f>
      </c>
      <c r="G74" s="20">
        <f>IF(A74="","",F74/E$5)</f>
      </c>
    </row>
    <row r="75" spans="1:7" x14ac:dyDescent="0.25">
      <c r="A75">
        <f>IF(63&gt;COUNT(Customers!$F$5:$F$204),"",63)</f>
      </c>
      <c r="B75">
        <f>IF(A75="","",INDEX(Customers!$A$5:$A$204,MATCH(LARGE(Customers!$F$5:$F$204,63),Customers!$F$5:$F$204,0)))</f>
      </c>
      <c r="C75" s="10">
        <f>IF(A75="","",INDEX(Customers!$B$5:$B$204,MATCH(LARGE(Customers!$F$5:$F$204,63),Customers!$F$5:$F$204,0)))</f>
      </c>
      <c r="D75" s="10">
        <f>IF(A75="","",INDEX(Customers!$E$5:$E$204,MATCH(LARGE(Customers!$F$5:$F$204,63),Customers!$F$5:$F$204,0)))</f>
      </c>
      <c r="E75" s="20">
        <f>IF(A75="","",IF(C75=0,"",D75/C75))</f>
      </c>
      <c r="F75" s="10">
        <f>IF(A75="","",F74+D75)</f>
      </c>
      <c r="G75" s="20">
        <f>IF(A75="","",F75/E$5)</f>
      </c>
    </row>
    <row r="76" spans="1:7" x14ac:dyDescent="0.25">
      <c r="A76">
        <f>IF(64&gt;COUNT(Customers!$F$5:$F$204),"",64)</f>
      </c>
      <c r="B76">
        <f>IF(A76="","",INDEX(Customers!$A$5:$A$204,MATCH(LARGE(Customers!$F$5:$F$204,64),Customers!$F$5:$F$204,0)))</f>
      </c>
      <c r="C76" s="10">
        <f>IF(A76="","",INDEX(Customers!$B$5:$B$204,MATCH(LARGE(Customers!$F$5:$F$204,64),Customers!$F$5:$F$204,0)))</f>
      </c>
      <c r="D76" s="10">
        <f>IF(A76="","",INDEX(Customers!$E$5:$E$204,MATCH(LARGE(Customers!$F$5:$F$204,64),Customers!$F$5:$F$204,0)))</f>
      </c>
      <c r="E76" s="20">
        <f>IF(A76="","",IF(C76=0,"",D76/C76))</f>
      </c>
      <c r="F76" s="10">
        <f>IF(A76="","",F75+D76)</f>
      </c>
      <c r="G76" s="20">
        <f>IF(A76="","",F76/E$5)</f>
      </c>
    </row>
    <row r="77" spans="1:7" x14ac:dyDescent="0.25">
      <c r="A77">
        <f>IF(65&gt;COUNT(Customers!$F$5:$F$204),"",65)</f>
      </c>
      <c r="B77">
        <f>IF(A77="","",INDEX(Customers!$A$5:$A$204,MATCH(LARGE(Customers!$F$5:$F$204,65),Customers!$F$5:$F$204,0)))</f>
      </c>
      <c r="C77" s="10">
        <f>IF(A77="","",INDEX(Customers!$B$5:$B$204,MATCH(LARGE(Customers!$F$5:$F$204,65),Customers!$F$5:$F$204,0)))</f>
      </c>
      <c r="D77" s="10">
        <f>IF(A77="","",INDEX(Customers!$E$5:$E$204,MATCH(LARGE(Customers!$F$5:$F$204,65),Customers!$F$5:$F$204,0)))</f>
      </c>
      <c r="E77" s="20">
        <f>IF(A77="","",IF(C77=0,"",D77/C77))</f>
      </c>
      <c r="F77" s="10">
        <f>IF(A77="","",F76+D77)</f>
      </c>
      <c r="G77" s="20">
        <f>IF(A77="","",F77/E$5)</f>
      </c>
    </row>
    <row r="78" spans="1:7" x14ac:dyDescent="0.25">
      <c r="A78">
        <f>IF(66&gt;COUNT(Customers!$F$5:$F$204),"",66)</f>
      </c>
      <c r="B78">
        <f>IF(A78="","",INDEX(Customers!$A$5:$A$204,MATCH(LARGE(Customers!$F$5:$F$204,66),Customers!$F$5:$F$204,0)))</f>
      </c>
      <c r="C78" s="10">
        <f>IF(A78="","",INDEX(Customers!$B$5:$B$204,MATCH(LARGE(Customers!$F$5:$F$204,66),Customers!$F$5:$F$204,0)))</f>
      </c>
      <c r="D78" s="10">
        <f>IF(A78="","",INDEX(Customers!$E$5:$E$204,MATCH(LARGE(Customers!$F$5:$F$204,66),Customers!$F$5:$F$204,0)))</f>
      </c>
      <c r="E78" s="20">
        <f>IF(A78="","",IF(C78=0,"",D78/C78))</f>
      </c>
      <c r="F78" s="10">
        <f>IF(A78="","",F77+D78)</f>
      </c>
      <c r="G78" s="20">
        <f>IF(A78="","",F78/E$5)</f>
      </c>
    </row>
    <row r="79" spans="1:7" x14ac:dyDescent="0.25">
      <c r="A79">
        <f>IF(67&gt;COUNT(Customers!$F$5:$F$204),"",67)</f>
      </c>
      <c r="B79">
        <f>IF(A79="","",INDEX(Customers!$A$5:$A$204,MATCH(LARGE(Customers!$F$5:$F$204,67),Customers!$F$5:$F$204,0)))</f>
      </c>
      <c r="C79" s="10">
        <f>IF(A79="","",INDEX(Customers!$B$5:$B$204,MATCH(LARGE(Customers!$F$5:$F$204,67),Customers!$F$5:$F$204,0)))</f>
      </c>
      <c r="D79" s="10">
        <f>IF(A79="","",INDEX(Customers!$E$5:$E$204,MATCH(LARGE(Customers!$F$5:$F$204,67),Customers!$F$5:$F$204,0)))</f>
      </c>
      <c r="E79" s="20">
        <f>IF(A79="","",IF(C79=0,"",D79/C79))</f>
      </c>
      <c r="F79" s="10">
        <f>IF(A79="","",F78+D79)</f>
      </c>
      <c r="G79" s="20">
        <f>IF(A79="","",F79/E$5)</f>
      </c>
    </row>
    <row r="80" spans="1:7" x14ac:dyDescent="0.25">
      <c r="A80">
        <f>IF(68&gt;COUNT(Customers!$F$5:$F$204),"",68)</f>
      </c>
      <c r="B80">
        <f>IF(A80="","",INDEX(Customers!$A$5:$A$204,MATCH(LARGE(Customers!$F$5:$F$204,68),Customers!$F$5:$F$204,0)))</f>
      </c>
      <c r="C80" s="10">
        <f>IF(A80="","",INDEX(Customers!$B$5:$B$204,MATCH(LARGE(Customers!$F$5:$F$204,68),Customers!$F$5:$F$204,0)))</f>
      </c>
      <c r="D80" s="10">
        <f>IF(A80="","",INDEX(Customers!$E$5:$E$204,MATCH(LARGE(Customers!$F$5:$F$204,68),Customers!$F$5:$F$204,0)))</f>
      </c>
      <c r="E80" s="20">
        <f>IF(A80="","",IF(C80=0,"",D80/C80))</f>
      </c>
      <c r="F80" s="10">
        <f>IF(A80="","",F79+D80)</f>
      </c>
      <c r="G80" s="20">
        <f>IF(A80="","",F80/E$5)</f>
      </c>
    </row>
    <row r="81" spans="1:7" x14ac:dyDescent="0.25">
      <c r="A81">
        <f>IF(69&gt;COUNT(Customers!$F$5:$F$204),"",69)</f>
      </c>
      <c r="B81">
        <f>IF(A81="","",INDEX(Customers!$A$5:$A$204,MATCH(LARGE(Customers!$F$5:$F$204,69),Customers!$F$5:$F$204,0)))</f>
      </c>
      <c r="C81" s="10">
        <f>IF(A81="","",INDEX(Customers!$B$5:$B$204,MATCH(LARGE(Customers!$F$5:$F$204,69),Customers!$F$5:$F$204,0)))</f>
      </c>
      <c r="D81" s="10">
        <f>IF(A81="","",INDEX(Customers!$E$5:$E$204,MATCH(LARGE(Customers!$F$5:$F$204,69),Customers!$F$5:$F$204,0)))</f>
      </c>
      <c r="E81" s="20">
        <f>IF(A81="","",IF(C81=0,"",D81/C81))</f>
      </c>
      <c r="F81" s="10">
        <f>IF(A81="","",F80+D81)</f>
      </c>
      <c r="G81" s="20">
        <f>IF(A81="","",F81/E$5)</f>
      </c>
    </row>
    <row r="82" spans="1:7" x14ac:dyDescent="0.25">
      <c r="A82">
        <f>IF(70&gt;COUNT(Customers!$F$5:$F$204),"",70)</f>
      </c>
      <c r="B82">
        <f>IF(A82="","",INDEX(Customers!$A$5:$A$204,MATCH(LARGE(Customers!$F$5:$F$204,70),Customers!$F$5:$F$204,0)))</f>
      </c>
      <c r="C82" s="10">
        <f>IF(A82="","",INDEX(Customers!$B$5:$B$204,MATCH(LARGE(Customers!$F$5:$F$204,70),Customers!$F$5:$F$204,0)))</f>
      </c>
      <c r="D82" s="10">
        <f>IF(A82="","",INDEX(Customers!$E$5:$E$204,MATCH(LARGE(Customers!$F$5:$F$204,70),Customers!$F$5:$F$204,0)))</f>
      </c>
      <c r="E82" s="20">
        <f>IF(A82="","",IF(C82=0,"",D82/C82))</f>
      </c>
      <c r="F82" s="10">
        <f>IF(A82="","",F81+D82)</f>
      </c>
      <c r="G82" s="20">
        <f>IF(A82="","",F82/E$5)</f>
      </c>
    </row>
    <row r="83" spans="1:7" x14ac:dyDescent="0.25">
      <c r="A83">
        <f>IF(71&gt;COUNT(Customers!$F$5:$F$204),"",71)</f>
      </c>
      <c r="B83">
        <f>IF(A83="","",INDEX(Customers!$A$5:$A$204,MATCH(LARGE(Customers!$F$5:$F$204,71),Customers!$F$5:$F$204,0)))</f>
      </c>
      <c r="C83" s="10">
        <f>IF(A83="","",INDEX(Customers!$B$5:$B$204,MATCH(LARGE(Customers!$F$5:$F$204,71),Customers!$F$5:$F$204,0)))</f>
      </c>
      <c r="D83" s="10">
        <f>IF(A83="","",INDEX(Customers!$E$5:$E$204,MATCH(LARGE(Customers!$F$5:$F$204,71),Customers!$F$5:$F$204,0)))</f>
      </c>
      <c r="E83" s="20">
        <f>IF(A83="","",IF(C83=0,"",D83/C83))</f>
      </c>
      <c r="F83" s="10">
        <f>IF(A83="","",F82+D83)</f>
      </c>
      <c r="G83" s="20">
        <f>IF(A83="","",F83/E$5)</f>
      </c>
    </row>
    <row r="84" spans="1:7" x14ac:dyDescent="0.25">
      <c r="A84">
        <f>IF(72&gt;COUNT(Customers!$F$5:$F$204),"",72)</f>
      </c>
      <c r="B84">
        <f>IF(A84="","",INDEX(Customers!$A$5:$A$204,MATCH(LARGE(Customers!$F$5:$F$204,72),Customers!$F$5:$F$204,0)))</f>
      </c>
      <c r="C84" s="10">
        <f>IF(A84="","",INDEX(Customers!$B$5:$B$204,MATCH(LARGE(Customers!$F$5:$F$204,72),Customers!$F$5:$F$204,0)))</f>
      </c>
      <c r="D84" s="10">
        <f>IF(A84="","",INDEX(Customers!$E$5:$E$204,MATCH(LARGE(Customers!$F$5:$F$204,72),Customers!$F$5:$F$204,0)))</f>
      </c>
      <c r="E84" s="20">
        <f>IF(A84="","",IF(C84=0,"",D84/C84))</f>
      </c>
      <c r="F84" s="10">
        <f>IF(A84="","",F83+D84)</f>
      </c>
      <c r="G84" s="20">
        <f>IF(A84="","",F84/E$5)</f>
      </c>
    </row>
    <row r="85" spans="1:7" x14ac:dyDescent="0.25">
      <c r="A85">
        <f>IF(73&gt;COUNT(Customers!$F$5:$F$204),"",73)</f>
      </c>
      <c r="B85">
        <f>IF(A85="","",INDEX(Customers!$A$5:$A$204,MATCH(LARGE(Customers!$F$5:$F$204,73),Customers!$F$5:$F$204,0)))</f>
      </c>
      <c r="C85" s="10">
        <f>IF(A85="","",INDEX(Customers!$B$5:$B$204,MATCH(LARGE(Customers!$F$5:$F$204,73),Customers!$F$5:$F$204,0)))</f>
      </c>
      <c r="D85" s="10">
        <f>IF(A85="","",INDEX(Customers!$E$5:$E$204,MATCH(LARGE(Customers!$F$5:$F$204,73),Customers!$F$5:$F$204,0)))</f>
      </c>
      <c r="E85" s="20">
        <f>IF(A85="","",IF(C85=0,"",D85/C85))</f>
      </c>
      <c r="F85" s="10">
        <f>IF(A85="","",F84+D85)</f>
      </c>
      <c r="G85" s="20">
        <f>IF(A85="","",F85/E$5)</f>
      </c>
    </row>
    <row r="86" spans="1:7" x14ac:dyDescent="0.25">
      <c r="A86">
        <f>IF(74&gt;COUNT(Customers!$F$5:$F$204),"",74)</f>
      </c>
      <c r="B86">
        <f>IF(A86="","",INDEX(Customers!$A$5:$A$204,MATCH(LARGE(Customers!$F$5:$F$204,74),Customers!$F$5:$F$204,0)))</f>
      </c>
      <c r="C86" s="10">
        <f>IF(A86="","",INDEX(Customers!$B$5:$B$204,MATCH(LARGE(Customers!$F$5:$F$204,74),Customers!$F$5:$F$204,0)))</f>
      </c>
      <c r="D86" s="10">
        <f>IF(A86="","",INDEX(Customers!$E$5:$E$204,MATCH(LARGE(Customers!$F$5:$F$204,74),Customers!$F$5:$F$204,0)))</f>
      </c>
      <c r="E86" s="20">
        <f>IF(A86="","",IF(C86=0,"",D86/C86))</f>
      </c>
      <c r="F86" s="10">
        <f>IF(A86="","",F85+D86)</f>
      </c>
      <c r="G86" s="20">
        <f>IF(A86="","",F86/E$5)</f>
      </c>
    </row>
    <row r="87" spans="1:7" x14ac:dyDescent="0.25">
      <c r="A87">
        <f>IF(75&gt;COUNT(Customers!$F$5:$F$204),"",75)</f>
      </c>
      <c r="B87">
        <f>IF(A87="","",INDEX(Customers!$A$5:$A$204,MATCH(LARGE(Customers!$F$5:$F$204,75),Customers!$F$5:$F$204,0)))</f>
      </c>
      <c r="C87" s="10">
        <f>IF(A87="","",INDEX(Customers!$B$5:$B$204,MATCH(LARGE(Customers!$F$5:$F$204,75),Customers!$F$5:$F$204,0)))</f>
      </c>
      <c r="D87" s="10">
        <f>IF(A87="","",INDEX(Customers!$E$5:$E$204,MATCH(LARGE(Customers!$F$5:$F$204,75),Customers!$F$5:$F$204,0)))</f>
      </c>
      <c r="E87" s="20">
        <f>IF(A87="","",IF(C87=0,"",D87/C87))</f>
      </c>
      <c r="F87" s="10">
        <f>IF(A87="","",F86+D87)</f>
      </c>
      <c r="G87" s="20">
        <f>IF(A87="","",F87/E$5)</f>
      </c>
    </row>
    <row r="88" spans="1:7" x14ac:dyDescent="0.25">
      <c r="A88">
        <f>IF(76&gt;COUNT(Customers!$F$5:$F$204),"",76)</f>
      </c>
      <c r="B88">
        <f>IF(A88="","",INDEX(Customers!$A$5:$A$204,MATCH(LARGE(Customers!$F$5:$F$204,76),Customers!$F$5:$F$204,0)))</f>
      </c>
      <c r="C88" s="10">
        <f>IF(A88="","",INDEX(Customers!$B$5:$B$204,MATCH(LARGE(Customers!$F$5:$F$204,76),Customers!$F$5:$F$204,0)))</f>
      </c>
      <c r="D88" s="10">
        <f>IF(A88="","",INDEX(Customers!$E$5:$E$204,MATCH(LARGE(Customers!$F$5:$F$204,76),Customers!$F$5:$F$204,0)))</f>
      </c>
      <c r="E88" s="20">
        <f>IF(A88="","",IF(C88=0,"",D88/C88))</f>
      </c>
      <c r="F88" s="10">
        <f>IF(A88="","",F87+D88)</f>
      </c>
      <c r="G88" s="20">
        <f>IF(A88="","",F88/E$5)</f>
      </c>
    </row>
    <row r="89" spans="1:7" x14ac:dyDescent="0.25">
      <c r="A89">
        <f>IF(77&gt;COUNT(Customers!$F$5:$F$204),"",77)</f>
      </c>
      <c r="B89">
        <f>IF(A89="","",INDEX(Customers!$A$5:$A$204,MATCH(LARGE(Customers!$F$5:$F$204,77),Customers!$F$5:$F$204,0)))</f>
      </c>
      <c r="C89" s="10">
        <f>IF(A89="","",INDEX(Customers!$B$5:$B$204,MATCH(LARGE(Customers!$F$5:$F$204,77),Customers!$F$5:$F$204,0)))</f>
      </c>
      <c r="D89" s="10">
        <f>IF(A89="","",INDEX(Customers!$E$5:$E$204,MATCH(LARGE(Customers!$F$5:$F$204,77),Customers!$F$5:$F$204,0)))</f>
      </c>
      <c r="E89" s="20">
        <f>IF(A89="","",IF(C89=0,"",D89/C89))</f>
      </c>
      <c r="F89" s="10">
        <f>IF(A89="","",F88+D89)</f>
      </c>
      <c r="G89" s="20">
        <f>IF(A89="","",F89/E$5)</f>
      </c>
    </row>
    <row r="90" spans="1:7" x14ac:dyDescent="0.25">
      <c r="A90">
        <f>IF(78&gt;COUNT(Customers!$F$5:$F$204),"",78)</f>
      </c>
      <c r="B90">
        <f>IF(A90="","",INDEX(Customers!$A$5:$A$204,MATCH(LARGE(Customers!$F$5:$F$204,78),Customers!$F$5:$F$204,0)))</f>
      </c>
      <c r="C90" s="10">
        <f>IF(A90="","",INDEX(Customers!$B$5:$B$204,MATCH(LARGE(Customers!$F$5:$F$204,78),Customers!$F$5:$F$204,0)))</f>
      </c>
      <c r="D90" s="10">
        <f>IF(A90="","",INDEX(Customers!$E$5:$E$204,MATCH(LARGE(Customers!$F$5:$F$204,78),Customers!$F$5:$F$204,0)))</f>
      </c>
      <c r="E90" s="20">
        <f>IF(A90="","",IF(C90=0,"",D90/C90))</f>
      </c>
      <c r="F90" s="10">
        <f>IF(A90="","",F89+D90)</f>
      </c>
      <c r="G90" s="20">
        <f>IF(A90="","",F90/E$5)</f>
      </c>
    </row>
    <row r="91" spans="1:7" x14ac:dyDescent="0.25">
      <c r="A91">
        <f>IF(79&gt;COUNT(Customers!$F$5:$F$204),"",79)</f>
      </c>
      <c r="B91">
        <f>IF(A91="","",INDEX(Customers!$A$5:$A$204,MATCH(LARGE(Customers!$F$5:$F$204,79),Customers!$F$5:$F$204,0)))</f>
      </c>
      <c r="C91" s="10">
        <f>IF(A91="","",INDEX(Customers!$B$5:$B$204,MATCH(LARGE(Customers!$F$5:$F$204,79),Customers!$F$5:$F$204,0)))</f>
      </c>
      <c r="D91" s="10">
        <f>IF(A91="","",INDEX(Customers!$E$5:$E$204,MATCH(LARGE(Customers!$F$5:$F$204,79),Customers!$F$5:$F$204,0)))</f>
      </c>
      <c r="E91" s="20">
        <f>IF(A91="","",IF(C91=0,"",D91/C91))</f>
      </c>
      <c r="F91" s="10">
        <f>IF(A91="","",F90+D91)</f>
      </c>
      <c r="G91" s="20">
        <f>IF(A91="","",F91/E$5)</f>
      </c>
    </row>
    <row r="92" spans="1:7" x14ac:dyDescent="0.25">
      <c r="A92">
        <f>IF(80&gt;COUNT(Customers!$F$5:$F$204),"",80)</f>
      </c>
      <c r="B92">
        <f>IF(A92="","",INDEX(Customers!$A$5:$A$204,MATCH(LARGE(Customers!$F$5:$F$204,80),Customers!$F$5:$F$204,0)))</f>
      </c>
      <c r="C92" s="10">
        <f>IF(A92="","",INDEX(Customers!$B$5:$B$204,MATCH(LARGE(Customers!$F$5:$F$204,80),Customers!$F$5:$F$204,0)))</f>
      </c>
      <c r="D92" s="10">
        <f>IF(A92="","",INDEX(Customers!$E$5:$E$204,MATCH(LARGE(Customers!$F$5:$F$204,80),Customers!$F$5:$F$204,0)))</f>
      </c>
      <c r="E92" s="20">
        <f>IF(A92="","",IF(C92=0,"",D92/C92))</f>
      </c>
      <c r="F92" s="10">
        <f>IF(A92="","",F91+D92)</f>
      </c>
      <c r="G92" s="20">
        <f>IF(A92="","",F92/E$5)</f>
      </c>
    </row>
    <row r="93" spans="1:7" x14ac:dyDescent="0.25">
      <c r="A93">
        <f>IF(81&gt;COUNT(Customers!$F$5:$F$204),"",81)</f>
      </c>
      <c r="B93">
        <f>IF(A93="","",INDEX(Customers!$A$5:$A$204,MATCH(LARGE(Customers!$F$5:$F$204,81),Customers!$F$5:$F$204,0)))</f>
      </c>
      <c r="C93" s="10">
        <f>IF(A93="","",INDEX(Customers!$B$5:$B$204,MATCH(LARGE(Customers!$F$5:$F$204,81),Customers!$F$5:$F$204,0)))</f>
      </c>
      <c r="D93" s="10">
        <f>IF(A93="","",INDEX(Customers!$E$5:$E$204,MATCH(LARGE(Customers!$F$5:$F$204,81),Customers!$F$5:$F$204,0)))</f>
      </c>
      <c r="E93" s="20">
        <f>IF(A93="","",IF(C93=0,"",D93/C93))</f>
      </c>
      <c r="F93" s="10">
        <f>IF(A93="","",F92+D93)</f>
      </c>
      <c r="G93" s="20">
        <f>IF(A93="","",F93/E$5)</f>
      </c>
    </row>
    <row r="94" spans="1:7" x14ac:dyDescent="0.25">
      <c r="A94">
        <f>IF(82&gt;COUNT(Customers!$F$5:$F$204),"",82)</f>
      </c>
      <c r="B94">
        <f>IF(A94="","",INDEX(Customers!$A$5:$A$204,MATCH(LARGE(Customers!$F$5:$F$204,82),Customers!$F$5:$F$204,0)))</f>
      </c>
      <c r="C94" s="10">
        <f>IF(A94="","",INDEX(Customers!$B$5:$B$204,MATCH(LARGE(Customers!$F$5:$F$204,82),Customers!$F$5:$F$204,0)))</f>
      </c>
      <c r="D94" s="10">
        <f>IF(A94="","",INDEX(Customers!$E$5:$E$204,MATCH(LARGE(Customers!$F$5:$F$204,82),Customers!$F$5:$F$204,0)))</f>
      </c>
      <c r="E94" s="20">
        <f>IF(A94="","",IF(C94=0,"",D94/C94))</f>
      </c>
      <c r="F94" s="10">
        <f>IF(A94="","",F93+D94)</f>
      </c>
      <c r="G94" s="20">
        <f>IF(A94="","",F94/E$5)</f>
      </c>
    </row>
    <row r="95" spans="1:7" x14ac:dyDescent="0.25">
      <c r="A95">
        <f>IF(83&gt;COUNT(Customers!$F$5:$F$204),"",83)</f>
      </c>
      <c r="B95">
        <f>IF(A95="","",INDEX(Customers!$A$5:$A$204,MATCH(LARGE(Customers!$F$5:$F$204,83),Customers!$F$5:$F$204,0)))</f>
      </c>
      <c r="C95" s="10">
        <f>IF(A95="","",INDEX(Customers!$B$5:$B$204,MATCH(LARGE(Customers!$F$5:$F$204,83),Customers!$F$5:$F$204,0)))</f>
      </c>
      <c r="D95" s="10">
        <f>IF(A95="","",INDEX(Customers!$E$5:$E$204,MATCH(LARGE(Customers!$F$5:$F$204,83),Customers!$F$5:$F$204,0)))</f>
      </c>
      <c r="E95" s="20">
        <f>IF(A95="","",IF(C95=0,"",D95/C95))</f>
      </c>
      <c r="F95" s="10">
        <f>IF(A95="","",F94+D95)</f>
      </c>
      <c r="G95" s="20">
        <f>IF(A95="","",F95/E$5)</f>
      </c>
    </row>
    <row r="96" spans="1:7" x14ac:dyDescent="0.25">
      <c r="A96">
        <f>IF(84&gt;COUNT(Customers!$F$5:$F$204),"",84)</f>
      </c>
      <c r="B96">
        <f>IF(A96="","",INDEX(Customers!$A$5:$A$204,MATCH(LARGE(Customers!$F$5:$F$204,84),Customers!$F$5:$F$204,0)))</f>
      </c>
      <c r="C96" s="10">
        <f>IF(A96="","",INDEX(Customers!$B$5:$B$204,MATCH(LARGE(Customers!$F$5:$F$204,84),Customers!$F$5:$F$204,0)))</f>
      </c>
      <c r="D96" s="10">
        <f>IF(A96="","",INDEX(Customers!$E$5:$E$204,MATCH(LARGE(Customers!$F$5:$F$204,84),Customers!$F$5:$F$204,0)))</f>
      </c>
      <c r="E96" s="20">
        <f>IF(A96="","",IF(C96=0,"",D96/C96))</f>
      </c>
      <c r="F96" s="10">
        <f>IF(A96="","",F95+D96)</f>
      </c>
      <c r="G96" s="20">
        <f>IF(A96="","",F96/E$5)</f>
      </c>
    </row>
    <row r="97" spans="1:7" x14ac:dyDescent="0.25">
      <c r="A97">
        <f>IF(85&gt;COUNT(Customers!$F$5:$F$204),"",85)</f>
      </c>
      <c r="B97">
        <f>IF(A97="","",INDEX(Customers!$A$5:$A$204,MATCH(LARGE(Customers!$F$5:$F$204,85),Customers!$F$5:$F$204,0)))</f>
      </c>
      <c r="C97" s="10">
        <f>IF(A97="","",INDEX(Customers!$B$5:$B$204,MATCH(LARGE(Customers!$F$5:$F$204,85),Customers!$F$5:$F$204,0)))</f>
      </c>
      <c r="D97" s="10">
        <f>IF(A97="","",INDEX(Customers!$E$5:$E$204,MATCH(LARGE(Customers!$F$5:$F$204,85),Customers!$F$5:$F$204,0)))</f>
      </c>
      <c r="E97" s="20">
        <f>IF(A97="","",IF(C97=0,"",D97/C97))</f>
      </c>
      <c r="F97" s="10">
        <f>IF(A97="","",F96+D97)</f>
      </c>
      <c r="G97" s="20">
        <f>IF(A97="","",F97/E$5)</f>
      </c>
    </row>
    <row r="98" spans="1:7" x14ac:dyDescent="0.25">
      <c r="A98">
        <f>IF(86&gt;COUNT(Customers!$F$5:$F$204),"",86)</f>
      </c>
      <c r="B98">
        <f>IF(A98="","",INDEX(Customers!$A$5:$A$204,MATCH(LARGE(Customers!$F$5:$F$204,86),Customers!$F$5:$F$204,0)))</f>
      </c>
      <c r="C98" s="10">
        <f>IF(A98="","",INDEX(Customers!$B$5:$B$204,MATCH(LARGE(Customers!$F$5:$F$204,86),Customers!$F$5:$F$204,0)))</f>
      </c>
      <c r="D98" s="10">
        <f>IF(A98="","",INDEX(Customers!$E$5:$E$204,MATCH(LARGE(Customers!$F$5:$F$204,86),Customers!$F$5:$F$204,0)))</f>
      </c>
      <c r="E98" s="20">
        <f>IF(A98="","",IF(C98=0,"",D98/C98))</f>
      </c>
      <c r="F98" s="10">
        <f>IF(A98="","",F97+D98)</f>
      </c>
      <c r="G98" s="20">
        <f>IF(A98="","",F98/E$5)</f>
      </c>
    </row>
    <row r="99" spans="1:7" x14ac:dyDescent="0.25">
      <c r="A99">
        <f>IF(87&gt;COUNT(Customers!$F$5:$F$204),"",87)</f>
      </c>
      <c r="B99">
        <f>IF(A99="","",INDEX(Customers!$A$5:$A$204,MATCH(LARGE(Customers!$F$5:$F$204,87),Customers!$F$5:$F$204,0)))</f>
      </c>
      <c r="C99" s="10">
        <f>IF(A99="","",INDEX(Customers!$B$5:$B$204,MATCH(LARGE(Customers!$F$5:$F$204,87),Customers!$F$5:$F$204,0)))</f>
      </c>
      <c r="D99" s="10">
        <f>IF(A99="","",INDEX(Customers!$E$5:$E$204,MATCH(LARGE(Customers!$F$5:$F$204,87),Customers!$F$5:$F$204,0)))</f>
      </c>
      <c r="E99" s="20">
        <f>IF(A99="","",IF(C99=0,"",D99/C99))</f>
      </c>
      <c r="F99" s="10">
        <f>IF(A99="","",F98+D99)</f>
      </c>
      <c r="G99" s="20">
        <f>IF(A99="","",F99/E$5)</f>
      </c>
    </row>
    <row r="100" spans="1:7" x14ac:dyDescent="0.25">
      <c r="A100">
        <f>IF(88&gt;COUNT(Customers!$F$5:$F$204),"",88)</f>
      </c>
      <c r="B100">
        <f>IF(A100="","",INDEX(Customers!$A$5:$A$204,MATCH(LARGE(Customers!$F$5:$F$204,88),Customers!$F$5:$F$204,0)))</f>
      </c>
      <c r="C100" s="10">
        <f>IF(A100="","",INDEX(Customers!$B$5:$B$204,MATCH(LARGE(Customers!$F$5:$F$204,88),Customers!$F$5:$F$204,0)))</f>
      </c>
      <c r="D100" s="10">
        <f>IF(A100="","",INDEX(Customers!$E$5:$E$204,MATCH(LARGE(Customers!$F$5:$F$204,88),Customers!$F$5:$F$204,0)))</f>
      </c>
      <c r="E100" s="20">
        <f>IF(A100="","",IF(C100=0,"",D100/C100))</f>
      </c>
      <c r="F100" s="10">
        <f>IF(A100="","",F99+D100)</f>
      </c>
      <c r="G100" s="20">
        <f>IF(A100="","",F100/E$5)</f>
      </c>
    </row>
    <row r="101" spans="1:7" x14ac:dyDescent="0.25">
      <c r="A101">
        <f>IF(89&gt;COUNT(Customers!$F$5:$F$204),"",89)</f>
      </c>
      <c r="B101">
        <f>IF(A101="","",INDEX(Customers!$A$5:$A$204,MATCH(LARGE(Customers!$F$5:$F$204,89),Customers!$F$5:$F$204,0)))</f>
      </c>
      <c r="C101" s="10">
        <f>IF(A101="","",INDEX(Customers!$B$5:$B$204,MATCH(LARGE(Customers!$F$5:$F$204,89),Customers!$F$5:$F$204,0)))</f>
      </c>
      <c r="D101" s="10">
        <f>IF(A101="","",INDEX(Customers!$E$5:$E$204,MATCH(LARGE(Customers!$F$5:$F$204,89),Customers!$F$5:$F$204,0)))</f>
      </c>
      <c r="E101" s="20">
        <f>IF(A101="","",IF(C101=0,"",D101/C101))</f>
      </c>
      <c r="F101" s="10">
        <f>IF(A101="","",F100+D101)</f>
      </c>
      <c r="G101" s="20">
        <f>IF(A101="","",F101/E$5)</f>
      </c>
    </row>
    <row r="102" spans="1:7" x14ac:dyDescent="0.25">
      <c r="A102">
        <f>IF(90&gt;COUNT(Customers!$F$5:$F$204),"",90)</f>
      </c>
      <c r="B102">
        <f>IF(A102="","",INDEX(Customers!$A$5:$A$204,MATCH(LARGE(Customers!$F$5:$F$204,90),Customers!$F$5:$F$204,0)))</f>
      </c>
      <c r="C102" s="10">
        <f>IF(A102="","",INDEX(Customers!$B$5:$B$204,MATCH(LARGE(Customers!$F$5:$F$204,90),Customers!$F$5:$F$204,0)))</f>
      </c>
      <c r="D102" s="10">
        <f>IF(A102="","",INDEX(Customers!$E$5:$E$204,MATCH(LARGE(Customers!$F$5:$F$204,90),Customers!$F$5:$F$204,0)))</f>
      </c>
      <c r="E102" s="20">
        <f>IF(A102="","",IF(C102=0,"",D102/C102))</f>
      </c>
      <c r="F102" s="10">
        <f>IF(A102="","",F101+D102)</f>
      </c>
      <c r="G102" s="20">
        <f>IF(A102="","",F102/E$5)</f>
      </c>
    </row>
    <row r="103" spans="1:7" x14ac:dyDescent="0.25">
      <c r="A103">
        <f>IF(91&gt;COUNT(Customers!$F$5:$F$204),"",91)</f>
      </c>
      <c r="B103">
        <f>IF(A103="","",INDEX(Customers!$A$5:$A$204,MATCH(LARGE(Customers!$F$5:$F$204,91),Customers!$F$5:$F$204,0)))</f>
      </c>
      <c r="C103" s="10">
        <f>IF(A103="","",INDEX(Customers!$B$5:$B$204,MATCH(LARGE(Customers!$F$5:$F$204,91),Customers!$F$5:$F$204,0)))</f>
      </c>
      <c r="D103" s="10">
        <f>IF(A103="","",INDEX(Customers!$E$5:$E$204,MATCH(LARGE(Customers!$F$5:$F$204,91),Customers!$F$5:$F$204,0)))</f>
      </c>
      <c r="E103" s="20">
        <f>IF(A103="","",IF(C103=0,"",D103/C103))</f>
      </c>
      <c r="F103" s="10">
        <f>IF(A103="","",F102+D103)</f>
      </c>
      <c r="G103" s="20">
        <f>IF(A103="","",F103/E$5)</f>
      </c>
    </row>
    <row r="104" spans="1:7" x14ac:dyDescent="0.25">
      <c r="A104">
        <f>IF(92&gt;COUNT(Customers!$F$5:$F$204),"",92)</f>
      </c>
      <c r="B104">
        <f>IF(A104="","",INDEX(Customers!$A$5:$A$204,MATCH(LARGE(Customers!$F$5:$F$204,92),Customers!$F$5:$F$204,0)))</f>
      </c>
      <c r="C104" s="10">
        <f>IF(A104="","",INDEX(Customers!$B$5:$B$204,MATCH(LARGE(Customers!$F$5:$F$204,92),Customers!$F$5:$F$204,0)))</f>
      </c>
      <c r="D104" s="10">
        <f>IF(A104="","",INDEX(Customers!$E$5:$E$204,MATCH(LARGE(Customers!$F$5:$F$204,92),Customers!$F$5:$F$204,0)))</f>
      </c>
      <c r="E104" s="20">
        <f>IF(A104="","",IF(C104=0,"",D104/C104))</f>
      </c>
      <c r="F104" s="10">
        <f>IF(A104="","",F103+D104)</f>
      </c>
      <c r="G104" s="20">
        <f>IF(A104="","",F104/E$5)</f>
      </c>
    </row>
    <row r="105" spans="1:7" x14ac:dyDescent="0.25">
      <c r="A105">
        <f>IF(93&gt;COUNT(Customers!$F$5:$F$204),"",93)</f>
      </c>
      <c r="B105">
        <f>IF(A105="","",INDEX(Customers!$A$5:$A$204,MATCH(LARGE(Customers!$F$5:$F$204,93),Customers!$F$5:$F$204,0)))</f>
      </c>
      <c r="C105" s="10">
        <f>IF(A105="","",INDEX(Customers!$B$5:$B$204,MATCH(LARGE(Customers!$F$5:$F$204,93),Customers!$F$5:$F$204,0)))</f>
      </c>
      <c r="D105" s="10">
        <f>IF(A105="","",INDEX(Customers!$E$5:$E$204,MATCH(LARGE(Customers!$F$5:$F$204,93),Customers!$F$5:$F$204,0)))</f>
      </c>
      <c r="E105" s="20">
        <f>IF(A105="","",IF(C105=0,"",D105/C105))</f>
      </c>
      <c r="F105" s="10">
        <f>IF(A105="","",F104+D105)</f>
      </c>
      <c r="G105" s="20">
        <f>IF(A105="","",F105/E$5)</f>
      </c>
    </row>
    <row r="106" spans="1:7" x14ac:dyDescent="0.25">
      <c r="A106">
        <f>IF(94&gt;COUNT(Customers!$F$5:$F$204),"",94)</f>
      </c>
      <c r="B106">
        <f>IF(A106="","",INDEX(Customers!$A$5:$A$204,MATCH(LARGE(Customers!$F$5:$F$204,94),Customers!$F$5:$F$204,0)))</f>
      </c>
      <c r="C106" s="10">
        <f>IF(A106="","",INDEX(Customers!$B$5:$B$204,MATCH(LARGE(Customers!$F$5:$F$204,94),Customers!$F$5:$F$204,0)))</f>
      </c>
      <c r="D106" s="10">
        <f>IF(A106="","",INDEX(Customers!$E$5:$E$204,MATCH(LARGE(Customers!$F$5:$F$204,94),Customers!$F$5:$F$204,0)))</f>
      </c>
      <c r="E106" s="20">
        <f>IF(A106="","",IF(C106=0,"",D106/C106))</f>
      </c>
      <c r="F106" s="10">
        <f>IF(A106="","",F105+D106)</f>
      </c>
      <c r="G106" s="20">
        <f>IF(A106="","",F106/E$5)</f>
      </c>
    </row>
    <row r="107" spans="1:7" x14ac:dyDescent="0.25">
      <c r="A107">
        <f>IF(95&gt;COUNT(Customers!$F$5:$F$204),"",95)</f>
      </c>
      <c r="B107">
        <f>IF(A107="","",INDEX(Customers!$A$5:$A$204,MATCH(LARGE(Customers!$F$5:$F$204,95),Customers!$F$5:$F$204,0)))</f>
      </c>
      <c r="C107" s="10">
        <f>IF(A107="","",INDEX(Customers!$B$5:$B$204,MATCH(LARGE(Customers!$F$5:$F$204,95),Customers!$F$5:$F$204,0)))</f>
      </c>
      <c r="D107" s="10">
        <f>IF(A107="","",INDEX(Customers!$E$5:$E$204,MATCH(LARGE(Customers!$F$5:$F$204,95),Customers!$F$5:$F$204,0)))</f>
      </c>
      <c r="E107" s="20">
        <f>IF(A107="","",IF(C107=0,"",D107/C107))</f>
      </c>
      <c r="F107" s="10">
        <f>IF(A107="","",F106+D107)</f>
      </c>
      <c r="G107" s="20">
        <f>IF(A107="","",F107/E$5)</f>
      </c>
    </row>
    <row r="108" spans="1:7" x14ac:dyDescent="0.25">
      <c r="A108">
        <f>IF(96&gt;COUNT(Customers!$F$5:$F$204),"",96)</f>
      </c>
      <c r="B108">
        <f>IF(A108="","",INDEX(Customers!$A$5:$A$204,MATCH(LARGE(Customers!$F$5:$F$204,96),Customers!$F$5:$F$204,0)))</f>
      </c>
      <c r="C108" s="10">
        <f>IF(A108="","",INDEX(Customers!$B$5:$B$204,MATCH(LARGE(Customers!$F$5:$F$204,96),Customers!$F$5:$F$204,0)))</f>
      </c>
      <c r="D108" s="10">
        <f>IF(A108="","",INDEX(Customers!$E$5:$E$204,MATCH(LARGE(Customers!$F$5:$F$204,96),Customers!$F$5:$F$204,0)))</f>
      </c>
      <c r="E108" s="20">
        <f>IF(A108="","",IF(C108=0,"",D108/C108))</f>
      </c>
      <c r="F108" s="10">
        <f>IF(A108="","",F107+D108)</f>
      </c>
      <c r="G108" s="20">
        <f>IF(A108="","",F108/E$5)</f>
      </c>
    </row>
    <row r="109" spans="1:7" x14ac:dyDescent="0.25">
      <c r="A109">
        <f>IF(97&gt;COUNT(Customers!$F$5:$F$204),"",97)</f>
      </c>
      <c r="B109">
        <f>IF(A109="","",INDEX(Customers!$A$5:$A$204,MATCH(LARGE(Customers!$F$5:$F$204,97),Customers!$F$5:$F$204,0)))</f>
      </c>
      <c r="C109" s="10">
        <f>IF(A109="","",INDEX(Customers!$B$5:$B$204,MATCH(LARGE(Customers!$F$5:$F$204,97),Customers!$F$5:$F$204,0)))</f>
      </c>
      <c r="D109" s="10">
        <f>IF(A109="","",INDEX(Customers!$E$5:$E$204,MATCH(LARGE(Customers!$F$5:$F$204,97),Customers!$F$5:$F$204,0)))</f>
      </c>
      <c r="E109" s="20">
        <f>IF(A109="","",IF(C109=0,"",D109/C109))</f>
      </c>
      <c r="F109" s="10">
        <f>IF(A109="","",F108+D109)</f>
      </c>
      <c r="G109" s="20">
        <f>IF(A109="","",F109/E$5)</f>
      </c>
    </row>
    <row r="110" spans="1:7" x14ac:dyDescent="0.25">
      <c r="A110">
        <f>IF(98&gt;COUNT(Customers!$F$5:$F$204),"",98)</f>
      </c>
      <c r="B110">
        <f>IF(A110="","",INDEX(Customers!$A$5:$A$204,MATCH(LARGE(Customers!$F$5:$F$204,98),Customers!$F$5:$F$204,0)))</f>
      </c>
      <c r="C110" s="10">
        <f>IF(A110="","",INDEX(Customers!$B$5:$B$204,MATCH(LARGE(Customers!$F$5:$F$204,98),Customers!$F$5:$F$204,0)))</f>
      </c>
      <c r="D110" s="10">
        <f>IF(A110="","",INDEX(Customers!$E$5:$E$204,MATCH(LARGE(Customers!$F$5:$F$204,98),Customers!$F$5:$F$204,0)))</f>
      </c>
      <c r="E110" s="20">
        <f>IF(A110="","",IF(C110=0,"",D110/C110))</f>
      </c>
      <c r="F110" s="10">
        <f>IF(A110="","",F109+D110)</f>
      </c>
      <c r="G110" s="20">
        <f>IF(A110="","",F110/E$5)</f>
      </c>
    </row>
    <row r="111" spans="1:7" x14ac:dyDescent="0.25">
      <c r="A111">
        <f>IF(99&gt;COUNT(Customers!$F$5:$F$204),"",99)</f>
      </c>
      <c r="B111">
        <f>IF(A111="","",INDEX(Customers!$A$5:$A$204,MATCH(LARGE(Customers!$F$5:$F$204,99),Customers!$F$5:$F$204,0)))</f>
      </c>
      <c r="C111" s="10">
        <f>IF(A111="","",INDEX(Customers!$B$5:$B$204,MATCH(LARGE(Customers!$F$5:$F$204,99),Customers!$F$5:$F$204,0)))</f>
      </c>
      <c r="D111" s="10">
        <f>IF(A111="","",INDEX(Customers!$E$5:$E$204,MATCH(LARGE(Customers!$F$5:$F$204,99),Customers!$F$5:$F$204,0)))</f>
      </c>
      <c r="E111" s="20">
        <f>IF(A111="","",IF(C111=0,"",D111/C111))</f>
      </c>
      <c r="F111" s="10">
        <f>IF(A111="","",F110+D111)</f>
      </c>
      <c r="G111" s="20">
        <f>IF(A111="","",F111/E$5)</f>
      </c>
    </row>
    <row r="112" spans="1:7" x14ac:dyDescent="0.25">
      <c r="A112">
        <f>IF(100&gt;COUNT(Customers!$F$5:$F$204),"",100)</f>
      </c>
      <c r="B112">
        <f>IF(A112="","",INDEX(Customers!$A$5:$A$204,MATCH(LARGE(Customers!$F$5:$F$204,100),Customers!$F$5:$F$204,0)))</f>
      </c>
      <c r="C112" s="10">
        <f>IF(A112="","",INDEX(Customers!$B$5:$B$204,MATCH(LARGE(Customers!$F$5:$F$204,100),Customers!$F$5:$F$204,0)))</f>
      </c>
      <c r="D112" s="10">
        <f>IF(A112="","",INDEX(Customers!$E$5:$E$204,MATCH(LARGE(Customers!$F$5:$F$204,100),Customers!$F$5:$F$204,0)))</f>
      </c>
      <c r="E112" s="20">
        <f>IF(A112="","",IF(C112=0,"",D112/C112))</f>
      </c>
      <c r="F112" s="10">
        <f>IF(A112="","",F111+D112)</f>
      </c>
      <c r="G112" s="20">
        <f>IF(A112="","",F112/E$5)</f>
      </c>
    </row>
    <row r="113" spans="1:7" x14ac:dyDescent="0.25">
      <c r="A113">
        <f>IF(101&gt;COUNT(Customers!$F$5:$F$204),"",101)</f>
      </c>
      <c r="B113">
        <f>IF(A113="","",INDEX(Customers!$A$5:$A$204,MATCH(LARGE(Customers!$F$5:$F$204,101),Customers!$F$5:$F$204,0)))</f>
      </c>
      <c r="C113" s="10">
        <f>IF(A113="","",INDEX(Customers!$B$5:$B$204,MATCH(LARGE(Customers!$F$5:$F$204,101),Customers!$F$5:$F$204,0)))</f>
      </c>
      <c r="D113" s="10">
        <f>IF(A113="","",INDEX(Customers!$E$5:$E$204,MATCH(LARGE(Customers!$F$5:$F$204,101),Customers!$F$5:$F$204,0)))</f>
      </c>
      <c r="E113" s="20">
        <f>IF(A113="","",IF(C113=0,"",D113/C113))</f>
      </c>
      <c r="F113" s="10">
        <f>IF(A113="","",F112+D113)</f>
      </c>
      <c r="G113" s="20">
        <f>IF(A113="","",F113/E$5)</f>
      </c>
    </row>
    <row r="114" spans="1:7" x14ac:dyDescent="0.25">
      <c r="A114">
        <f>IF(102&gt;COUNT(Customers!$F$5:$F$204),"",102)</f>
      </c>
      <c r="B114">
        <f>IF(A114="","",INDEX(Customers!$A$5:$A$204,MATCH(LARGE(Customers!$F$5:$F$204,102),Customers!$F$5:$F$204,0)))</f>
      </c>
      <c r="C114" s="10">
        <f>IF(A114="","",INDEX(Customers!$B$5:$B$204,MATCH(LARGE(Customers!$F$5:$F$204,102),Customers!$F$5:$F$204,0)))</f>
      </c>
      <c r="D114" s="10">
        <f>IF(A114="","",INDEX(Customers!$E$5:$E$204,MATCH(LARGE(Customers!$F$5:$F$204,102),Customers!$F$5:$F$204,0)))</f>
      </c>
      <c r="E114" s="20">
        <f>IF(A114="","",IF(C114=0,"",D114/C114))</f>
      </c>
      <c r="F114" s="10">
        <f>IF(A114="","",F113+D114)</f>
      </c>
      <c r="G114" s="20">
        <f>IF(A114="","",F114/E$5)</f>
      </c>
    </row>
    <row r="115" spans="1:7" x14ac:dyDescent="0.25">
      <c r="A115">
        <f>IF(103&gt;COUNT(Customers!$F$5:$F$204),"",103)</f>
      </c>
      <c r="B115">
        <f>IF(A115="","",INDEX(Customers!$A$5:$A$204,MATCH(LARGE(Customers!$F$5:$F$204,103),Customers!$F$5:$F$204,0)))</f>
      </c>
      <c r="C115" s="10">
        <f>IF(A115="","",INDEX(Customers!$B$5:$B$204,MATCH(LARGE(Customers!$F$5:$F$204,103),Customers!$F$5:$F$204,0)))</f>
      </c>
      <c r="D115" s="10">
        <f>IF(A115="","",INDEX(Customers!$E$5:$E$204,MATCH(LARGE(Customers!$F$5:$F$204,103),Customers!$F$5:$F$204,0)))</f>
      </c>
      <c r="E115" s="20">
        <f>IF(A115="","",IF(C115=0,"",D115/C115))</f>
      </c>
      <c r="F115" s="10">
        <f>IF(A115="","",F114+D115)</f>
      </c>
      <c r="G115" s="20">
        <f>IF(A115="","",F115/E$5)</f>
      </c>
    </row>
    <row r="116" spans="1:7" x14ac:dyDescent="0.25">
      <c r="A116">
        <f>IF(104&gt;COUNT(Customers!$F$5:$F$204),"",104)</f>
      </c>
      <c r="B116">
        <f>IF(A116="","",INDEX(Customers!$A$5:$A$204,MATCH(LARGE(Customers!$F$5:$F$204,104),Customers!$F$5:$F$204,0)))</f>
      </c>
      <c r="C116" s="10">
        <f>IF(A116="","",INDEX(Customers!$B$5:$B$204,MATCH(LARGE(Customers!$F$5:$F$204,104),Customers!$F$5:$F$204,0)))</f>
      </c>
      <c r="D116" s="10">
        <f>IF(A116="","",INDEX(Customers!$E$5:$E$204,MATCH(LARGE(Customers!$F$5:$F$204,104),Customers!$F$5:$F$204,0)))</f>
      </c>
      <c r="E116" s="20">
        <f>IF(A116="","",IF(C116=0,"",D116/C116))</f>
      </c>
      <c r="F116" s="10">
        <f>IF(A116="","",F115+D116)</f>
      </c>
      <c r="G116" s="20">
        <f>IF(A116="","",F116/E$5)</f>
      </c>
    </row>
    <row r="117" spans="1:7" x14ac:dyDescent="0.25">
      <c r="A117">
        <f>IF(105&gt;COUNT(Customers!$F$5:$F$204),"",105)</f>
      </c>
      <c r="B117">
        <f>IF(A117="","",INDEX(Customers!$A$5:$A$204,MATCH(LARGE(Customers!$F$5:$F$204,105),Customers!$F$5:$F$204,0)))</f>
      </c>
      <c r="C117" s="10">
        <f>IF(A117="","",INDEX(Customers!$B$5:$B$204,MATCH(LARGE(Customers!$F$5:$F$204,105),Customers!$F$5:$F$204,0)))</f>
      </c>
      <c r="D117" s="10">
        <f>IF(A117="","",INDEX(Customers!$E$5:$E$204,MATCH(LARGE(Customers!$F$5:$F$204,105),Customers!$F$5:$F$204,0)))</f>
      </c>
      <c r="E117" s="20">
        <f>IF(A117="","",IF(C117=0,"",D117/C117))</f>
      </c>
      <c r="F117" s="10">
        <f>IF(A117="","",F116+D117)</f>
      </c>
      <c r="G117" s="20">
        <f>IF(A117="","",F117/E$5)</f>
      </c>
    </row>
    <row r="118" spans="1:7" x14ac:dyDescent="0.25">
      <c r="A118">
        <f>IF(106&gt;COUNT(Customers!$F$5:$F$204),"",106)</f>
      </c>
      <c r="B118">
        <f>IF(A118="","",INDEX(Customers!$A$5:$A$204,MATCH(LARGE(Customers!$F$5:$F$204,106),Customers!$F$5:$F$204,0)))</f>
      </c>
      <c r="C118" s="10">
        <f>IF(A118="","",INDEX(Customers!$B$5:$B$204,MATCH(LARGE(Customers!$F$5:$F$204,106),Customers!$F$5:$F$204,0)))</f>
      </c>
      <c r="D118" s="10">
        <f>IF(A118="","",INDEX(Customers!$E$5:$E$204,MATCH(LARGE(Customers!$F$5:$F$204,106),Customers!$F$5:$F$204,0)))</f>
      </c>
      <c r="E118" s="20">
        <f>IF(A118="","",IF(C118=0,"",D118/C118))</f>
      </c>
      <c r="F118" s="10">
        <f>IF(A118="","",F117+D118)</f>
      </c>
      <c r="G118" s="20">
        <f>IF(A118="","",F118/E$5)</f>
      </c>
    </row>
    <row r="119" spans="1:7" x14ac:dyDescent="0.25">
      <c r="A119">
        <f>IF(107&gt;COUNT(Customers!$F$5:$F$204),"",107)</f>
      </c>
      <c r="B119">
        <f>IF(A119="","",INDEX(Customers!$A$5:$A$204,MATCH(LARGE(Customers!$F$5:$F$204,107),Customers!$F$5:$F$204,0)))</f>
      </c>
      <c r="C119" s="10">
        <f>IF(A119="","",INDEX(Customers!$B$5:$B$204,MATCH(LARGE(Customers!$F$5:$F$204,107),Customers!$F$5:$F$204,0)))</f>
      </c>
      <c r="D119" s="10">
        <f>IF(A119="","",INDEX(Customers!$E$5:$E$204,MATCH(LARGE(Customers!$F$5:$F$204,107),Customers!$F$5:$F$204,0)))</f>
      </c>
      <c r="E119" s="20">
        <f>IF(A119="","",IF(C119=0,"",D119/C119))</f>
      </c>
      <c r="F119" s="10">
        <f>IF(A119="","",F118+D119)</f>
      </c>
      <c r="G119" s="20">
        <f>IF(A119="","",F119/E$5)</f>
      </c>
    </row>
    <row r="120" spans="1:7" x14ac:dyDescent="0.25">
      <c r="A120">
        <f>IF(108&gt;COUNT(Customers!$F$5:$F$204),"",108)</f>
      </c>
      <c r="B120">
        <f>IF(A120="","",INDEX(Customers!$A$5:$A$204,MATCH(LARGE(Customers!$F$5:$F$204,108),Customers!$F$5:$F$204,0)))</f>
      </c>
      <c r="C120" s="10">
        <f>IF(A120="","",INDEX(Customers!$B$5:$B$204,MATCH(LARGE(Customers!$F$5:$F$204,108),Customers!$F$5:$F$204,0)))</f>
      </c>
      <c r="D120" s="10">
        <f>IF(A120="","",INDEX(Customers!$E$5:$E$204,MATCH(LARGE(Customers!$F$5:$F$204,108),Customers!$F$5:$F$204,0)))</f>
      </c>
      <c r="E120" s="20">
        <f>IF(A120="","",IF(C120=0,"",D120/C120))</f>
      </c>
      <c r="F120" s="10">
        <f>IF(A120="","",F119+D120)</f>
      </c>
      <c r="G120" s="20">
        <f>IF(A120="","",F120/E$5)</f>
      </c>
    </row>
    <row r="121" spans="1:7" x14ac:dyDescent="0.25">
      <c r="A121">
        <f>IF(109&gt;COUNT(Customers!$F$5:$F$204),"",109)</f>
      </c>
      <c r="B121">
        <f>IF(A121="","",INDEX(Customers!$A$5:$A$204,MATCH(LARGE(Customers!$F$5:$F$204,109),Customers!$F$5:$F$204,0)))</f>
      </c>
      <c r="C121" s="10">
        <f>IF(A121="","",INDEX(Customers!$B$5:$B$204,MATCH(LARGE(Customers!$F$5:$F$204,109),Customers!$F$5:$F$204,0)))</f>
      </c>
      <c r="D121" s="10">
        <f>IF(A121="","",INDEX(Customers!$E$5:$E$204,MATCH(LARGE(Customers!$F$5:$F$204,109),Customers!$F$5:$F$204,0)))</f>
      </c>
      <c r="E121" s="20">
        <f>IF(A121="","",IF(C121=0,"",D121/C121))</f>
      </c>
      <c r="F121" s="10">
        <f>IF(A121="","",F120+D121)</f>
      </c>
      <c r="G121" s="20">
        <f>IF(A121="","",F121/E$5)</f>
      </c>
    </row>
    <row r="122" spans="1:7" x14ac:dyDescent="0.25">
      <c r="A122">
        <f>IF(110&gt;COUNT(Customers!$F$5:$F$204),"",110)</f>
      </c>
      <c r="B122">
        <f>IF(A122="","",INDEX(Customers!$A$5:$A$204,MATCH(LARGE(Customers!$F$5:$F$204,110),Customers!$F$5:$F$204,0)))</f>
      </c>
      <c r="C122" s="10">
        <f>IF(A122="","",INDEX(Customers!$B$5:$B$204,MATCH(LARGE(Customers!$F$5:$F$204,110),Customers!$F$5:$F$204,0)))</f>
      </c>
      <c r="D122" s="10">
        <f>IF(A122="","",INDEX(Customers!$E$5:$E$204,MATCH(LARGE(Customers!$F$5:$F$204,110),Customers!$F$5:$F$204,0)))</f>
      </c>
      <c r="E122" s="20">
        <f>IF(A122="","",IF(C122=0,"",D122/C122))</f>
      </c>
      <c r="F122" s="10">
        <f>IF(A122="","",F121+D122)</f>
      </c>
      <c r="G122" s="20">
        <f>IF(A122="","",F122/E$5)</f>
      </c>
    </row>
    <row r="123" spans="1:7" x14ac:dyDescent="0.25">
      <c r="A123">
        <f>IF(111&gt;COUNT(Customers!$F$5:$F$204),"",111)</f>
      </c>
      <c r="B123">
        <f>IF(A123="","",INDEX(Customers!$A$5:$A$204,MATCH(LARGE(Customers!$F$5:$F$204,111),Customers!$F$5:$F$204,0)))</f>
      </c>
      <c r="C123" s="10">
        <f>IF(A123="","",INDEX(Customers!$B$5:$B$204,MATCH(LARGE(Customers!$F$5:$F$204,111),Customers!$F$5:$F$204,0)))</f>
      </c>
      <c r="D123" s="10">
        <f>IF(A123="","",INDEX(Customers!$E$5:$E$204,MATCH(LARGE(Customers!$F$5:$F$204,111),Customers!$F$5:$F$204,0)))</f>
      </c>
      <c r="E123" s="20">
        <f>IF(A123="","",IF(C123=0,"",D123/C123))</f>
      </c>
      <c r="F123" s="10">
        <f>IF(A123="","",F122+D123)</f>
      </c>
      <c r="G123" s="20">
        <f>IF(A123="","",F123/E$5)</f>
      </c>
    </row>
    <row r="124" spans="1:7" x14ac:dyDescent="0.25">
      <c r="A124">
        <f>IF(112&gt;COUNT(Customers!$F$5:$F$204),"",112)</f>
      </c>
      <c r="B124">
        <f>IF(A124="","",INDEX(Customers!$A$5:$A$204,MATCH(LARGE(Customers!$F$5:$F$204,112),Customers!$F$5:$F$204,0)))</f>
      </c>
      <c r="C124" s="10">
        <f>IF(A124="","",INDEX(Customers!$B$5:$B$204,MATCH(LARGE(Customers!$F$5:$F$204,112),Customers!$F$5:$F$204,0)))</f>
      </c>
      <c r="D124" s="10">
        <f>IF(A124="","",INDEX(Customers!$E$5:$E$204,MATCH(LARGE(Customers!$F$5:$F$204,112),Customers!$F$5:$F$204,0)))</f>
      </c>
      <c r="E124" s="20">
        <f>IF(A124="","",IF(C124=0,"",D124/C124))</f>
      </c>
      <c r="F124" s="10">
        <f>IF(A124="","",F123+D124)</f>
      </c>
      <c r="G124" s="20">
        <f>IF(A124="","",F124/E$5)</f>
      </c>
    </row>
    <row r="125" spans="1:7" x14ac:dyDescent="0.25">
      <c r="A125">
        <f>IF(113&gt;COUNT(Customers!$F$5:$F$204),"",113)</f>
      </c>
      <c r="B125">
        <f>IF(A125="","",INDEX(Customers!$A$5:$A$204,MATCH(LARGE(Customers!$F$5:$F$204,113),Customers!$F$5:$F$204,0)))</f>
      </c>
      <c r="C125" s="10">
        <f>IF(A125="","",INDEX(Customers!$B$5:$B$204,MATCH(LARGE(Customers!$F$5:$F$204,113),Customers!$F$5:$F$204,0)))</f>
      </c>
      <c r="D125" s="10">
        <f>IF(A125="","",INDEX(Customers!$E$5:$E$204,MATCH(LARGE(Customers!$F$5:$F$204,113),Customers!$F$5:$F$204,0)))</f>
      </c>
      <c r="E125" s="20">
        <f>IF(A125="","",IF(C125=0,"",D125/C125))</f>
      </c>
      <c r="F125" s="10">
        <f>IF(A125="","",F124+D125)</f>
      </c>
      <c r="G125" s="20">
        <f>IF(A125="","",F125/E$5)</f>
      </c>
    </row>
    <row r="126" spans="1:7" x14ac:dyDescent="0.25">
      <c r="A126">
        <f>IF(114&gt;COUNT(Customers!$F$5:$F$204),"",114)</f>
      </c>
      <c r="B126">
        <f>IF(A126="","",INDEX(Customers!$A$5:$A$204,MATCH(LARGE(Customers!$F$5:$F$204,114),Customers!$F$5:$F$204,0)))</f>
      </c>
      <c r="C126" s="10">
        <f>IF(A126="","",INDEX(Customers!$B$5:$B$204,MATCH(LARGE(Customers!$F$5:$F$204,114),Customers!$F$5:$F$204,0)))</f>
      </c>
      <c r="D126" s="10">
        <f>IF(A126="","",INDEX(Customers!$E$5:$E$204,MATCH(LARGE(Customers!$F$5:$F$204,114),Customers!$F$5:$F$204,0)))</f>
      </c>
      <c r="E126" s="20">
        <f>IF(A126="","",IF(C126=0,"",D126/C126))</f>
      </c>
      <c r="F126" s="10">
        <f>IF(A126="","",F125+D126)</f>
      </c>
      <c r="G126" s="20">
        <f>IF(A126="","",F126/E$5)</f>
      </c>
    </row>
    <row r="127" spans="1:7" x14ac:dyDescent="0.25">
      <c r="A127">
        <f>IF(115&gt;COUNT(Customers!$F$5:$F$204),"",115)</f>
      </c>
      <c r="B127">
        <f>IF(A127="","",INDEX(Customers!$A$5:$A$204,MATCH(LARGE(Customers!$F$5:$F$204,115),Customers!$F$5:$F$204,0)))</f>
      </c>
      <c r="C127" s="10">
        <f>IF(A127="","",INDEX(Customers!$B$5:$B$204,MATCH(LARGE(Customers!$F$5:$F$204,115),Customers!$F$5:$F$204,0)))</f>
      </c>
      <c r="D127" s="10">
        <f>IF(A127="","",INDEX(Customers!$E$5:$E$204,MATCH(LARGE(Customers!$F$5:$F$204,115),Customers!$F$5:$F$204,0)))</f>
      </c>
      <c r="E127" s="20">
        <f>IF(A127="","",IF(C127=0,"",D127/C127))</f>
      </c>
      <c r="F127" s="10">
        <f>IF(A127="","",F126+D127)</f>
      </c>
      <c r="G127" s="20">
        <f>IF(A127="","",F127/E$5)</f>
      </c>
    </row>
    <row r="128" spans="1:7" x14ac:dyDescent="0.25">
      <c r="A128">
        <f>IF(116&gt;COUNT(Customers!$F$5:$F$204),"",116)</f>
      </c>
      <c r="B128">
        <f>IF(A128="","",INDEX(Customers!$A$5:$A$204,MATCH(LARGE(Customers!$F$5:$F$204,116),Customers!$F$5:$F$204,0)))</f>
      </c>
      <c r="C128" s="10">
        <f>IF(A128="","",INDEX(Customers!$B$5:$B$204,MATCH(LARGE(Customers!$F$5:$F$204,116),Customers!$F$5:$F$204,0)))</f>
      </c>
      <c r="D128" s="10">
        <f>IF(A128="","",INDEX(Customers!$E$5:$E$204,MATCH(LARGE(Customers!$F$5:$F$204,116),Customers!$F$5:$F$204,0)))</f>
      </c>
      <c r="E128" s="20">
        <f>IF(A128="","",IF(C128=0,"",D128/C128))</f>
      </c>
      <c r="F128" s="10">
        <f>IF(A128="","",F127+D128)</f>
      </c>
      <c r="G128" s="20">
        <f>IF(A128="","",F128/E$5)</f>
      </c>
    </row>
    <row r="129" spans="1:7" x14ac:dyDescent="0.25">
      <c r="A129">
        <f>IF(117&gt;COUNT(Customers!$F$5:$F$204),"",117)</f>
      </c>
      <c r="B129">
        <f>IF(A129="","",INDEX(Customers!$A$5:$A$204,MATCH(LARGE(Customers!$F$5:$F$204,117),Customers!$F$5:$F$204,0)))</f>
      </c>
      <c r="C129" s="10">
        <f>IF(A129="","",INDEX(Customers!$B$5:$B$204,MATCH(LARGE(Customers!$F$5:$F$204,117),Customers!$F$5:$F$204,0)))</f>
      </c>
      <c r="D129" s="10">
        <f>IF(A129="","",INDEX(Customers!$E$5:$E$204,MATCH(LARGE(Customers!$F$5:$F$204,117),Customers!$F$5:$F$204,0)))</f>
      </c>
      <c r="E129" s="20">
        <f>IF(A129="","",IF(C129=0,"",D129/C129))</f>
      </c>
      <c r="F129" s="10">
        <f>IF(A129="","",F128+D129)</f>
      </c>
      <c r="G129" s="20">
        <f>IF(A129="","",F129/E$5)</f>
      </c>
    </row>
    <row r="130" spans="1:7" x14ac:dyDescent="0.25">
      <c r="A130">
        <f>IF(118&gt;COUNT(Customers!$F$5:$F$204),"",118)</f>
      </c>
      <c r="B130">
        <f>IF(A130="","",INDEX(Customers!$A$5:$A$204,MATCH(LARGE(Customers!$F$5:$F$204,118),Customers!$F$5:$F$204,0)))</f>
      </c>
      <c r="C130" s="10">
        <f>IF(A130="","",INDEX(Customers!$B$5:$B$204,MATCH(LARGE(Customers!$F$5:$F$204,118),Customers!$F$5:$F$204,0)))</f>
      </c>
      <c r="D130" s="10">
        <f>IF(A130="","",INDEX(Customers!$E$5:$E$204,MATCH(LARGE(Customers!$F$5:$F$204,118),Customers!$F$5:$F$204,0)))</f>
      </c>
      <c r="E130" s="20">
        <f>IF(A130="","",IF(C130=0,"",D130/C130))</f>
      </c>
      <c r="F130" s="10">
        <f>IF(A130="","",F129+D130)</f>
      </c>
      <c r="G130" s="20">
        <f>IF(A130="","",F130/E$5)</f>
      </c>
    </row>
    <row r="131" spans="1:7" x14ac:dyDescent="0.25">
      <c r="A131">
        <f>IF(119&gt;COUNT(Customers!$F$5:$F$204),"",119)</f>
      </c>
      <c r="B131">
        <f>IF(A131="","",INDEX(Customers!$A$5:$A$204,MATCH(LARGE(Customers!$F$5:$F$204,119),Customers!$F$5:$F$204,0)))</f>
      </c>
      <c r="C131" s="10">
        <f>IF(A131="","",INDEX(Customers!$B$5:$B$204,MATCH(LARGE(Customers!$F$5:$F$204,119),Customers!$F$5:$F$204,0)))</f>
      </c>
      <c r="D131" s="10">
        <f>IF(A131="","",INDEX(Customers!$E$5:$E$204,MATCH(LARGE(Customers!$F$5:$F$204,119),Customers!$F$5:$F$204,0)))</f>
      </c>
      <c r="E131" s="20">
        <f>IF(A131="","",IF(C131=0,"",D131/C131))</f>
      </c>
      <c r="F131" s="10">
        <f>IF(A131="","",F130+D131)</f>
      </c>
      <c r="G131" s="20">
        <f>IF(A131="","",F131/E$5)</f>
      </c>
    </row>
    <row r="132" spans="1:7" x14ac:dyDescent="0.25">
      <c r="A132">
        <f>IF(120&gt;COUNT(Customers!$F$5:$F$204),"",120)</f>
      </c>
      <c r="B132">
        <f>IF(A132="","",INDEX(Customers!$A$5:$A$204,MATCH(LARGE(Customers!$F$5:$F$204,120),Customers!$F$5:$F$204,0)))</f>
      </c>
      <c r="C132" s="10">
        <f>IF(A132="","",INDEX(Customers!$B$5:$B$204,MATCH(LARGE(Customers!$F$5:$F$204,120),Customers!$F$5:$F$204,0)))</f>
      </c>
      <c r="D132" s="10">
        <f>IF(A132="","",INDEX(Customers!$E$5:$E$204,MATCH(LARGE(Customers!$F$5:$F$204,120),Customers!$F$5:$F$204,0)))</f>
      </c>
      <c r="E132" s="20">
        <f>IF(A132="","",IF(C132=0,"",D132/C132))</f>
      </c>
      <c r="F132" s="10">
        <f>IF(A132="","",F131+D132)</f>
      </c>
      <c r="G132" s="20">
        <f>IF(A132="","",F132/E$5)</f>
      </c>
    </row>
    <row r="133" spans="1:7" x14ac:dyDescent="0.25">
      <c r="A133">
        <f>IF(121&gt;COUNT(Customers!$F$5:$F$204),"",121)</f>
      </c>
      <c r="B133">
        <f>IF(A133="","",INDEX(Customers!$A$5:$A$204,MATCH(LARGE(Customers!$F$5:$F$204,121),Customers!$F$5:$F$204,0)))</f>
      </c>
      <c r="C133" s="10">
        <f>IF(A133="","",INDEX(Customers!$B$5:$B$204,MATCH(LARGE(Customers!$F$5:$F$204,121),Customers!$F$5:$F$204,0)))</f>
      </c>
      <c r="D133" s="10">
        <f>IF(A133="","",INDEX(Customers!$E$5:$E$204,MATCH(LARGE(Customers!$F$5:$F$204,121),Customers!$F$5:$F$204,0)))</f>
      </c>
      <c r="E133" s="20">
        <f>IF(A133="","",IF(C133=0,"",D133/C133))</f>
      </c>
      <c r="F133" s="10">
        <f>IF(A133="","",F132+D133)</f>
      </c>
      <c r="G133" s="20">
        <f>IF(A133="","",F133/E$5)</f>
      </c>
    </row>
    <row r="134" spans="1:7" x14ac:dyDescent="0.25">
      <c r="A134">
        <f>IF(122&gt;COUNT(Customers!$F$5:$F$204),"",122)</f>
      </c>
      <c r="B134">
        <f>IF(A134="","",INDEX(Customers!$A$5:$A$204,MATCH(LARGE(Customers!$F$5:$F$204,122),Customers!$F$5:$F$204,0)))</f>
      </c>
      <c r="C134" s="10">
        <f>IF(A134="","",INDEX(Customers!$B$5:$B$204,MATCH(LARGE(Customers!$F$5:$F$204,122),Customers!$F$5:$F$204,0)))</f>
      </c>
      <c r="D134" s="10">
        <f>IF(A134="","",INDEX(Customers!$E$5:$E$204,MATCH(LARGE(Customers!$F$5:$F$204,122),Customers!$F$5:$F$204,0)))</f>
      </c>
      <c r="E134" s="20">
        <f>IF(A134="","",IF(C134=0,"",D134/C134))</f>
      </c>
      <c r="F134" s="10">
        <f>IF(A134="","",F133+D134)</f>
      </c>
      <c r="G134" s="20">
        <f>IF(A134="","",F134/E$5)</f>
      </c>
    </row>
    <row r="135" spans="1:7" x14ac:dyDescent="0.25">
      <c r="A135">
        <f>IF(123&gt;COUNT(Customers!$F$5:$F$204),"",123)</f>
      </c>
      <c r="B135">
        <f>IF(A135="","",INDEX(Customers!$A$5:$A$204,MATCH(LARGE(Customers!$F$5:$F$204,123),Customers!$F$5:$F$204,0)))</f>
      </c>
      <c r="C135" s="10">
        <f>IF(A135="","",INDEX(Customers!$B$5:$B$204,MATCH(LARGE(Customers!$F$5:$F$204,123),Customers!$F$5:$F$204,0)))</f>
      </c>
      <c r="D135" s="10">
        <f>IF(A135="","",INDEX(Customers!$E$5:$E$204,MATCH(LARGE(Customers!$F$5:$F$204,123),Customers!$F$5:$F$204,0)))</f>
      </c>
      <c r="E135" s="20">
        <f>IF(A135="","",IF(C135=0,"",D135/C135))</f>
      </c>
      <c r="F135" s="10">
        <f>IF(A135="","",F134+D135)</f>
      </c>
      <c r="G135" s="20">
        <f>IF(A135="","",F135/E$5)</f>
      </c>
    </row>
    <row r="136" spans="1:7" x14ac:dyDescent="0.25">
      <c r="A136">
        <f>IF(124&gt;COUNT(Customers!$F$5:$F$204),"",124)</f>
      </c>
      <c r="B136">
        <f>IF(A136="","",INDEX(Customers!$A$5:$A$204,MATCH(LARGE(Customers!$F$5:$F$204,124),Customers!$F$5:$F$204,0)))</f>
      </c>
      <c r="C136" s="10">
        <f>IF(A136="","",INDEX(Customers!$B$5:$B$204,MATCH(LARGE(Customers!$F$5:$F$204,124),Customers!$F$5:$F$204,0)))</f>
      </c>
      <c r="D136" s="10">
        <f>IF(A136="","",INDEX(Customers!$E$5:$E$204,MATCH(LARGE(Customers!$F$5:$F$204,124),Customers!$F$5:$F$204,0)))</f>
      </c>
      <c r="E136" s="20">
        <f>IF(A136="","",IF(C136=0,"",D136/C136))</f>
      </c>
      <c r="F136" s="10">
        <f>IF(A136="","",F135+D136)</f>
      </c>
      <c r="G136" s="20">
        <f>IF(A136="","",F136/E$5)</f>
      </c>
    </row>
    <row r="137" spans="1:7" x14ac:dyDescent="0.25">
      <c r="A137">
        <f>IF(125&gt;COUNT(Customers!$F$5:$F$204),"",125)</f>
      </c>
      <c r="B137">
        <f>IF(A137="","",INDEX(Customers!$A$5:$A$204,MATCH(LARGE(Customers!$F$5:$F$204,125),Customers!$F$5:$F$204,0)))</f>
      </c>
      <c r="C137" s="10">
        <f>IF(A137="","",INDEX(Customers!$B$5:$B$204,MATCH(LARGE(Customers!$F$5:$F$204,125),Customers!$F$5:$F$204,0)))</f>
      </c>
      <c r="D137" s="10">
        <f>IF(A137="","",INDEX(Customers!$E$5:$E$204,MATCH(LARGE(Customers!$F$5:$F$204,125),Customers!$F$5:$F$204,0)))</f>
      </c>
      <c r="E137" s="20">
        <f>IF(A137="","",IF(C137=0,"",D137/C137))</f>
      </c>
      <c r="F137" s="10">
        <f>IF(A137="","",F136+D137)</f>
      </c>
      <c r="G137" s="20">
        <f>IF(A137="","",F137/E$5)</f>
      </c>
    </row>
    <row r="138" spans="1:7" x14ac:dyDescent="0.25">
      <c r="A138">
        <f>IF(126&gt;COUNT(Customers!$F$5:$F$204),"",126)</f>
      </c>
      <c r="B138">
        <f>IF(A138="","",INDEX(Customers!$A$5:$A$204,MATCH(LARGE(Customers!$F$5:$F$204,126),Customers!$F$5:$F$204,0)))</f>
      </c>
      <c r="C138" s="10">
        <f>IF(A138="","",INDEX(Customers!$B$5:$B$204,MATCH(LARGE(Customers!$F$5:$F$204,126),Customers!$F$5:$F$204,0)))</f>
      </c>
      <c r="D138" s="10">
        <f>IF(A138="","",INDEX(Customers!$E$5:$E$204,MATCH(LARGE(Customers!$F$5:$F$204,126),Customers!$F$5:$F$204,0)))</f>
      </c>
      <c r="E138" s="20">
        <f>IF(A138="","",IF(C138=0,"",D138/C138))</f>
      </c>
      <c r="F138" s="10">
        <f>IF(A138="","",F137+D138)</f>
      </c>
      <c r="G138" s="20">
        <f>IF(A138="","",F138/E$5)</f>
      </c>
    </row>
    <row r="139" spans="1:7" x14ac:dyDescent="0.25">
      <c r="A139">
        <f>IF(127&gt;COUNT(Customers!$F$5:$F$204),"",127)</f>
      </c>
      <c r="B139">
        <f>IF(A139="","",INDEX(Customers!$A$5:$A$204,MATCH(LARGE(Customers!$F$5:$F$204,127),Customers!$F$5:$F$204,0)))</f>
      </c>
      <c r="C139" s="10">
        <f>IF(A139="","",INDEX(Customers!$B$5:$B$204,MATCH(LARGE(Customers!$F$5:$F$204,127),Customers!$F$5:$F$204,0)))</f>
      </c>
      <c r="D139" s="10">
        <f>IF(A139="","",INDEX(Customers!$E$5:$E$204,MATCH(LARGE(Customers!$F$5:$F$204,127),Customers!$F$5:$F$204,0)))</f>
      </c>
      <c r="E139" s="20">
        <f>IF(A139="","",IF(C139=0,"",D139/C139))</f>
      </c>
      <c r="F139" s="10">
        <f>IF(A139="","",F138+D139)</f>
      </c>
      <c r="G139" s="20">
        <f>IF(A139="","",F139/E$5)</f>
      </c>
    </row>
    <row r="140" spans="1:7" x14ac:dyDescent="0.25">
      <c r="A140">
        <f>IF(128&gt;COUNT(Customers!$F$5:$F$204),"",128)</f>
      </c>
      <c r="B140">
        <f>IF(A140="","",INDEX(Customers!$A$5:$A$204,MATCH(LARGE(Customers!$F$5:$F$204,128),Customers!$F$5:$F$204,0)))</f>
      </c>
      <c r="C140" s="10">
        <f>IF(A140="","",INDEX(Customers!$B$5:$B$204,MATCH(LARGE(Customers!$F$5:$F$204,128),Customers!$F$5:$F$204,0)))</f>
      </c>
      <c r="D140" s="10">
        <f>IF(A140="","",INDEX(Customers!$E$5:$E$204,MATCH(LARGE(Customers!$F$5:$F$204,128),Customers!$F$5:$F$204,0)))</f>
      </c>
      <c r="E140" s="20">
        <f>IF(A140="","",IF(C140=0,"",D140/C140))</f>
      </c>
      <c r="F140" s="10">
        <f>IF(A140="","",F139+D140)</f>
      </c>
      <c r="G140" s="20">
        <f>IF(A140="","",F140/E$5)</f>
      </c>
    </row>
    <row r="141" spans="1:7" x14ac:dyDescent="0.25">
      <c r="A141">
        <f>IF(129&gt;COUNT(Customers!$F$5:$F$204),"",129)</f>
      </c>
      <c r="B141">
        <f>IF(A141="","",INDEX(Customers!$A$5:$A$204,MATCH(LARGE(Customers!$F$5:$F$204,129),Customers!$F$5:$F$204,0)))</f>
      </c>
      <c r="C141" s="10">
        <f>IF(A141="","",INDEX(Customers!$B$5:$B$204,MATCH(LARGE(Customers!$F$5:$F$204,129),Customers!$F$5:$F$204,0)))</f>
      </c>
      <c r="D141" s="10">
        <f>IF(A141="","",INDEX(Customers!$E$5:$E$204,MATCH(LARGE(Customers!$F$5:$F$204,129),Customers!$F$5:$F$204,0)))</f>
      </c>
      <c r="E141" s="20">
        <f>IF(A141="","",IF(C141=0,"",D141/C141))</f>
      </c>
      <c r="F141" s="10">
        <f>IF(A141="","",F140+D141)</f>
      </c>
      <c r="G141" s="20">
        <f>IF(A141="","",F141/E$5)</f>
      </c>
    </row>
    <row r="142" spans="1:7" x14ac:dyDescent="0.25">
      <c r="A142">
        <f>IF(130&gt;COUNT(Customers!$F$5:$F$204),"",130)</f>
      </c>
      <c r="B142">
        <f>IF(A142="","",INDEX(Customers!$A$5:$A$204,MATCH(LARGE(Customers!$F$5:$F$204,130),Customers!$F$5:$F$204,0)))</f>
      </c>
      <c r="C142" s="10">
        <f>IF(A142="","",INDEX(Customers!$B$5:$B$204,MATCH(LARGE(Customers!$F$5:$F$204,130),Customers!$F$5:$F$204,0)))</f>
      </c>
      <c r="D142" s="10">
        <f>IF(A142="","",INDEX(Customers!$E$5:$E$204,MATCH(LARGE(Customers!$F$5:$F$204,130),Customers!$F$5:$F$204,0)))</f>
      </c>
      <c r="E142" s="20">
        <f>IF(A142="","",IF(C142=0,"",D142/C142))</f>
      </c>
      <c r="F142" s="10">
        <f>IF(A142="","",F141+D142)</f>
      </c>
      <c r="G142" s="20">
        <f>IF(A142="","",F142/E$5)</f>
      </c>
    </row>
    <row r="143" spans="1:7" x14ac:dyDescent="0.25">
      <c r="A143">
        <f>IF(131&gt;COUNT(Customers!$F$5:$F$204),"",131)</f>
      </c>
      <c r="B143">
        <f>IF(A143="","",INDEX(Customers!$A$5:$A$204,MATCH(LARGE(Customers!$F$5:$F$204,131),Customers!$F$5:$F$204,0)))</f>
      </c>
      <c r="C143" s="10">
        <f>IF(A143="","",INDEX(Customers!$B$5:$B$204,MATCH(LARGE(Customers!$F$5:$F$204,131),Customers!$F$5:$F$204,0)))</f>
      </c>
      <c r="D143" s="10">
        <f>IF(A143="","",INDEX(Customers!$E$5:$E$204,MATCH(LARGE(Customers!$F$5:$F$204,131),Customers!$F$5:$F$204,0)))</f>
      </c>
      <c r="E143" s="20">
        <f>IF(A143="","",IF(C143=0,"",D143/C143))</f>
      </c>
      <c r="F143" s="10">
        <f>IF(A143="","",F142+D143)</f>
      </c>
      <c r="G143" s="20">
        <f>IF(A143="","",F143/E$5)</f>
      </c>
    </row>
    <row r="144" spans="1:7" x14ac:dyDescent="0.25">
      <c r="A144">
        <f>IF(132&gt;COUNT(Customers!$F$5:$F$204),"",132)</f>
      </c>
      <c r="B144">
        <f>IF(A144="","",INDEX(Customers!$A$5:$A$204,MATCH(LARGE(Customers!$F$5:$F$204,132),Customers!$F$5:$F$204,0)))</f>
      </c>
      <c r="C144" s="10">
        <f>IF(A144="","",INDEX(Customers!$B$5:$B$204,MATCH(LARGE(Customers!$F$5:$F$204,132),Customers!$F$5:$F$204,0)))</f>
      </c>
      <c r="D144" s="10">
        <f>IF(A144="","",INDEX(Customers!$E$5:$E$204,MATCH(LARGE(Customers!$F$5:$F$204,132),Customers!$F$5:$F$204,0)))</f>
      </c>
      <c r="E144" s="20">
        <f>IF(A144="","",IF(C144=0,"",D144/C144))</f>
      </c>
      <c r="F144" s="10">
        <f>IF(A144="","",F143+D144)</f>
      </c>
      <c r="G144" s="20">
        <f>IF(A144="","",F144/E$5)</f>
      </c>
    </row>
    <row r="145" spans="1:7" x14ac:dyDescent="0.25">
      <c r="A145">
        <f>IF(133&gt;COUNT(Customers!$F$5:$F$204),"",133)</f>
      </c>
      <c r="B145">
        <f>IF(A145="","",INDEX(Customers!$A$5:$A$204,MATCH(LARGE(Customers!$F$5:$F$204,133),Customers!$F$5:$F$204,0)))</f>
      </c>
      <c r="C145" s="10">
        <f>IF(A145="","",INDEX(Customers!$B$5:$B$204,MATCH(LARGE(Customers!$F$5:$F$204,133),Customers!$F$5:$F$204,0)))</f>
      </c>
      <c r="D145" s="10">
        <f>IF(A145="","",INDEX(Customers!$E$5:$E$204,MATCH(LARGE(Customers!$F$5:$F$204,133),Customers!$F$5:$F$204,0)))</f>
      </c>
      <c r="E145" s="20">
        <f>IF(A145="","",IF(C145=0,"",D145/C145))</f>
      </c>
      <c r="F145" s="10">
        <f>IF(A145="","",F144+D145)</f>
      </c>
      <c r="G145" s="20">
        <f>IF(A145="","",F145/E$5)</f>
      </c>
    </row>
    <row r="146" spans="1:7" x14ac:dyDescent="0.25">
      <c r="A146">
        <f>IF(134&gt;COUNT(Customers!$F$5:$F$204),"",134)</f>
      </c>
      <c r="B146">
        <f>IF(A146="","",INDEX(Customers!$A$5:$A$204,MATCH(LARGE(Customers!$F$5:$F$204,134),Customers!$F$5:$F$204,0)))</f>
      </c>
      <c r="C146" s="10">
        <f>IF(A146="","",INDEX(Customers!$B$5:$B$204,MATCH(LARGE(Customers!$F$5:$F$204,134),Customers!$F$5:$F$204,0)))</f>
      </c>
      <c r="D146" s="10">
        <f>IF(A146="","",INDEX(Customers!$E$5:$E$204,MATCH(LARGE(Customers!$F$5:$F$204,134),Customers!$F$5:$F$204,0)))</f>
      </c>
      <c r="E146" s="20">
        <f>IF(A146="","",IF(C146=0,"",D146/C146))</f>
      </c>
      <c r="F146" s="10">
        <f>IF(A146="","",F145+D146)</f>
      </c>
      <c r="G146" s="20">
        <f>IF(A146="","",F146/E$5)</f>
      </c>
    </row>
    <row r="147" spans="1:7" x14ac:dyDescent="0.25">
      <c r="A147">
        <f>IF(135&gt;COUNT(Customers!$F$5:$F$204),"",135)</f>
      </c>
      <c r="B147">
        <f>IF(A147="","",INDEX(Customers!$A$5:$A$204,MATCH(LARGE(Customers!$F$5:$F$204,135),Customers!$F$5:$F$204,0)))</f>
      </c>
      <c r="C147" s="10">
        <f>IF(A147="","",INDEX(Customers!$B$5:$B$204,MATCH(LARGE(Customers!$F$5:$F$204,135),Customers!$F$5:$F$204,0)))</f>
      </c>
      <c r="D147" s="10">
        <f>IF(A147="","",INDEX(Customers!$E$5:$E$204,MATCH(LARGE(Customers!$F$5:$F$204,135),Customers!$F$5:$F$204,0)))</f>
      </c>
      <c r="E147" s="20">
        <f>IF(A147="","",IF(C147=0,"",D147/C147))</f>
      </c>
      <c r="F147" s="10">
        <f>IF(A147="","",F146+D147)</f>
      </c>
      <c r="G147" s="20">
        <f>IF(A147="","",F147/E$5)</f>
      </c>
    </row>
    <row r="148" spans="1:7" x14ac:dyDescent="0.25">
      <c r="A148">
        <f>IF(136&gt;COUNT(Customers!$F$5:$F$204),"",136)</f>
      </c>
      <c r="B148">
        <f>IF(A148="","",INDEX(Customers!$A$5:$A$204,MATCH(LARGE(Customers!$F$5:$F$204,136),Customers!$F$5:$F$204,0)))</f>
      </c>
      <c r="C148" s="10">
        <f>IF(A148="","",INDEX(Customers!$B$5:$B$204,MATCH(LARGE(Customers!$F$5:$F$204,136),Customers!$F$5:$F$204,0)))</f>
      </c>
      <c r="D148" s="10">
        <f>IF(A148="","",INDEX(Customers!$E$5:$E$204,MATCH(LARGE(Customers!$F$5:$F$204,136),Customers!$F$5:$F$204,0)))</f>
      </c>
      <c r="E148" s="20">
        <f>IF(A148="","",IF(C148=0,"",D148/C148))</f>
      </c>
      <c r="F148" s="10">
        <f>IF(A148="","",F147+D148)</f>
      </c>
      <c r="G148" s="20">
        <f>IF(A148="","",F148/E$5)</f>
      </c>
    </row>
    <row r="149" spans="1:7" x14ac:dyDescent="0.25">
      <c r="A149">
        <f>IF(137&gt;COUNT(Customers!$F$5:$F$204),"",137)</f>
      </c>
      <c r="B149">
        <f>IF(A149="","",INDEX(Customers!$A$5:$A$204,MATCH(LARGE(Customers!$F$5:$F$204,137),Customers!$F$5:$F$204,0)))</f>
      </c>
      <c r="C149" s="10">
        <f>IF(A149="","",INDEX(Customers!$B$5:$B$204,MATCH(LARGE(Customers!$F$5:$F$204,137),Customers!$F$5:$F$204,0)))</f>
      </c>
      <c r="D149" s="10">
        <f>IF(A149="","",INDEX(Customers!$E$5:$E$204,MATCH(LARGE(Customers!$F$5:$F$204,137),Customers!$F$5:$F$204,0)))</f>
      </c>
      <c r="E149" s="20">
        <f>IF(A149="","",IF(C149=0,"",D149/C149))</f>
      </c>
      <c r="F149" s="10">
        <f>IF(A149="","",F148+D149)</f>
      </c>
      <c r="G149" s="20">
        <f>IF(A149="","",F149/E$5)</f>
      </c>
    </row>
    <row r="150" spans="1:7" x14ac:dyDescent="0.25">
      <c r="A150">
        <f>IF(138&gt;COUNT(Customers!$F$5:$F$204),"",138)</f>
      </c>
      <c r="B150">
        <f>IF(A150="","",INDEX(Customers!$A$5:$A$204,MATCH(LARGE(Customers!$F$5:$F$204,138),Customers!$F$5:$F$204,0)))</f>
      </c>
      <c r="C150" s="10">
        <f>IF(A150="","",INDEX(Customers!$B$5:$B$204,MATCH(LARGE(Customers!$F$5:$F$204,138),Customers!$F$5:$F$204,0)))</f>
      </c>
      <c r="D150" s="10">
        <f>IF(A150="","",INDEX(Customers!$E$5:$E$204,MATCH(LARGE(Customers!$F$5:$F$204,138),Customers!$F$5:$F$204,0)))</f>
      </c>
      <c r="E150" s="20">
        <f>IF(A150="","",IF(C150=0,"",D150/C150))</f>
      </c>
      <c r="F150" s="10">
        <f>IF(A150="","",F149+D150)</f>
      </c>
      <c r="G150" s="20">
        <f>IF(A150="","",F150/E$5)</f>
      </c>
    </row>
    <row r="151" spans="1:7" x14ac:dyDescent="0.25">
      <c r="A151">
        <f>IF(139&gt;COUNT(Customers!$F$5:$F$204),"",139)</f>
      </c>
      <c r="B151">
        <f>IF(A151="","",INDEX(Customers!$A$5:$A$204,MATCH(LARGE(Customers!$F$5:$F$204,139),Customers!$F$5:$F$204,0)))</f>
      </c>
      <c r="C151" s="10">
        <f>IF(A151="","",INDEX(Customers!$B$5:$B$204,MATCH(LARGE(Customers!$F$5:$F$204,139),Customers!$F$5:$F$204,0)))</f>
      </c>
      <c r="D151" s="10">
        <f>IF(A151="","",INDEX(Customers!$E$5:$E$204,MATCH(LARGE(Customers!$F$5:$F$204,139),Customers!$F$5:$F$204,0)))</f>
      </c>
      <c r="E151" s="20">
        <f>IF(A151="","",IF(C151=0,"",D151/C151))</f>
      </c>
      <c r="F151" s="10">
        <f>IF(A151="","",F150+D151)</f>
      </c>
      <c r="G151" s="20">
        <f>IF(A151="","",F151/E$5)</f>
      </c>
    </row>
    <row r="152" spans="1:7" x14ac:dyDescent="0.25">
      <c r="A152">
        <f>IF(140&gt;COUNT(Customers!$F$5:$F$204),"",140)</f>
      </c>
      <c r="B152">
        <f>IF(A152="","",INDEX(Customers!$A$5:$A$204,MATCH(LARGE(Customers!$F$5:$F$204,140),Customers!$F$5:$F$204,0)))</f>
      </c>
      <c r="C152" s="10">
        <f>IF(A152="","",INDEX(Customers!$B$5:$B$204,MATCH(LARGE(Customers!$F$5:$F$204,140),Customers!$F$5:$F$204,0)))</f>
      </c>
      <c r="D152" s="10">
        <f>IF(A152="","",INDEX(Customers!$E$5:$E$204,MATCH(LARGE(Customers!$F$5:$F$204,140),Customers!$F$5:$F$204,0)))</f>
      </c>
      <c r="E152" s="20">
        <f>IF(A152="","",IF(C152=0,"",D152/C152))</f>
      </c>
      <c r="F152" s="10">
        <f>IF(A152="","",F151+D152)</f>
      </c>
      <c r="G152" s="20">
        <f>IF(A152="","",F152/E$5)</f>
      </c>
    </row>
    <row r="153" spans="1:7" x14ac:dyDescent="0.25">
      <c r="A153">
        <f>IF(141&gt;COUNT(Customers!$F$5:$F$204),"",141)</f>
      </c>
      <c r="B153">
        <f>IF(A153="","",INDEX(Customers!$A$5:$A$204,MATCH(LARGE(Customers!$F$5:$F$204,141),Customers!$F$5:$F$204,0)))</f>
      </c>
      <c r="C153" s="10">
        <f>IF(A153="","",INDEX(Customers!$B$5:$B$204,MATCH(LARGE(Customers!$F$5:$F$204,141),Customers!$F$5:$F$204,0)))</f>
      </c>
      <c r="D153" s="10">
        <f>IF(A153="","",INDEX(Customers!$E$5:$E$204,MATCH(LARGE(Customers!$F$5:$F$204,141),Customers!$F$5:$F$204,0)))</f>
      </c>
      <c r="E153" s="20">
        <f>IF(A153="","",IF(C153=0,"",D153/C153))</f>
      </c>
      <c r="F153" s="10">
        <f>IF(A153="","",F152+D153)</f>
      </c>
      <c r="G153" s="20">
        <f>IF(A153="","",F153/E$5)</f>
      </c>
    </row>
    <row r="154" spans="1:7" x14ac:dyDescent="0.25">
      <c r="A154">
        <f>IF(142&gt;COUNT(Customers!$F$5:$F$204),"",142)</f>
      </c>
      <c r="B154">
        <f>IF(A154="","",INDEX(Customers!$A$5:$A$204,MATCH(LARGE(Customers!$F$5:$F$204,142),Customers!$F$5:$F$204,0)))</f>
      </c>
      <c r="C154" s="10">
        <f>IF(A154="","",INDEX(Customers!$B$5:$B$204,MATCH(LARGE(Customers!$F$5:$F$204,142),Customers!$F$5:$F$204,0)))</f>
      </c>
      <c r="D154" s="10">
        <f>IF(A154="","",INDEX(Customers!$E$5:$E$204,MATCH(LARGE(Customers!$F$5:$F$204,142),Customers!$F$5:$F$204,0)))</f>
      </c>
      <c r="E154" s="20">
        <f>IF(A154="","",IF(C154=0,"",D154/C154))</f>
      </c>
      <c r="F154" s="10">
        <f>IF(A154="","",F153+D154)</f>
      </c>
      <c r="G154" s="20">
        <f>IF(A154="","",F154/E$5)</f>
      </c>
    </row>
    <row r="155" spans="1:7" x14ac:dyDescent="0.25">
      <c r="A155">
        <f>IF(143&gt;COUNT(Customers!$F$5:$F$204),"",143)</f>
      </c>
      <c r="B155">
        <f>IF(A155="","",INDEX(Customers!$A$5:$A$204,MATCH(LARGE(Customers!$F$5:$F$204,143),Customers!$F$5:$F$204,0)))</f>
      </c>
      <c r="C155" s="10">
        <f>IF(A155="","",INDEX(Customers!$B$5:$B$204,MATCH(LARGE(Customers!$F$5:$F$204,143),Customers!$F$5:$F$204,0)))</f>
      </c>
      <c r="D155" s="10">
        <f>IF(A155="","",INDEX(Customers!$E$5:$E$204,MATCH(LARGE(Customers!$F$5:$F$204,143),Customers!$F$5:$F$204,0)))</f>
      </c>
      <c r="E155" s="20">
        <f>IF(A155="","",IF(C155=0,"",D155/C155))</f>
      </c>
      <c r="F155" s="10">
        <f>IF(A155="","",F154+D155)</f>
      </c>
      <c r="G155" s="20">
        <f>IF(A155="","",F155/E$5)</f>
      </c>
    </row>
    <row r="156" spans="1:7" x14ac:dyDescent="0.25">
      <c r="A156">
        <f>IF(144&gt;COUNT(Customers!$F$5:$F$204),"",144)</f>
      </c>
      <c r="B156">
        <f>IF(A156="","",INDEX(Customers!$A$5:$A$204,MATCH(LARGE(Customers!$F$5:$F$204,144),Customers!$F$5:$F$204,0)))</f>
      </c>
      <c r="C156" s="10">
        <f>IF(A156="","",INDEX(Customers!$B$5:$B$204,MATCH(LARGE(Customers!$F$5:$F$204,144),Customers!$F$5:$F$204,0)))</f>
      </c>
      <c r="D156" s="10">
        <f>IF(A156="","",INDEX(Customers!$E$5:$E$204,MATCH(LARGE(Customers!$F$5:$F$204,144),Customers!$F$5:$F$204,0)))</f>
      </c>
      <c r="E156" s="20">
        <f>IF(A156="","",IF(C156=0,"",D156/C156))</f>
      </c>
      <c r="F156" s="10">
        <f>IF(A156="","",F155+D156)</f>
      </c>
      <c r="G156" s="20">
        <f>IF(A156="","",F156/E$5)</f>
      </c>
    </row>
    <row r="157" spans="1:7" x14ac:dyDescent="0.25">
      <c r="A157">
        <f>IF(145&gt;COUNT(Customers!$F$5:$F$204),"",145)</f>
      </c>
      <c r="B157">
        <f>IF(A157="","",INDEX(Customers!$A$5:$A$204,MATCH(LARGE(Customers!$F$5:$F$204,145),Customers!$F$5:$F$204,0)))</f>
      </c>
      <c r="C157" s="10">
        <f>IF(A157="","",INDEX(Customers!$B$5:$B$204,MATCH(LARGE(Customers!$F$5:$F$204,145),Customers!$F$5:$F$204,0)))</f>
      </c>
      <c r="D157" s="10">
        <f>IF(A157="","",INDEX(Customers!$E$5:$E$204,MATCH(LARGE(Customers!$F$5:$F$204,145),Customers!$F$5:$F$204,0)))</f>
      </c>
      <c r="E157" s="20">
        <f>IF(A157="","",IF(C157=0,"",D157/C157))</f>
      </c>
      <c r="F157" s="10">
        <f>IF(A157="","",F156+D157)</f>
      </c>
      <c r="G157" s="20">
        <f>IF(A157="","",F157/E$5)</f>
      </c>
    </row>
    <row r="158" spans="1:7" x14ac:dyDescent="0.25">
      <c r="A158">
        <f>IF(146&gt;COUNT(Customers!$F$5:$F$204),"",146)</f>
      </c>
      <c r="B158">
        <f>IF(A158="","",INDEX(Customers!$A$5:$A$204,MATCH(LARGE(Customers!$F$5:$F$204,146),Customers!$F$5:$F$204,0)))</f>
      </c>
      <c r="C158" s="10">
        <f>IF(A158="","",INDEX(Customers!$B$5:$B$204,MATCH(LARGE(Customers!$F$5:$F$204,146),Customers!$F$5:$F$204,0)))</f>
      </c>
      <c r="D158" s="10">
        <f>IF(A158="","",INDEX(Customers!$E$5:$E$204,MATCH(LARGE(Customers!$F$5:$F$204,146),Customers!$F$5:$F$204,0)))</f>
      </c>
      <c r="E158" s="20">
        <f>IF(A158="","",IF(C158=0,"",D158/C158))</f>
      </c>
      <c r="F158" s="10">
        <f>IF(A158="","",F157+D158)</f>
      </c>
      <c r="G158" s="20">
        <f>IF(A158="","",F158/E$5)</f>
      </c>
    </row>
    <row r="159" spans="1:7" x14ac:dyDescent="0.25">
      <c r="A159">
        <f>IF(147&gt;COUNT(Customers!$F$5:$F$204),"",147)</f>
      </c>
      <c r="B159">
        <f>IF(A159="","",INDEX(Customers!$A$5:$A$204,MATCH(LARGE(Customers!$F$5:$F$204,147),Customers!$F$5:$F$204,0)))</f>
      </c>
      <c r="C159" s="10">
        <f>IF(A159="","",INDEX(Customers!$B$5:$B$204,MATCH(LARGE(Customers!$F$5:$F$204,147),Customers!$F$5:$F$204,0)))</f>
      </c>
      <c r="D159" s="10">
        <f>IF(A159="","",INDEX(Customers!$E$5:$E$204,MATCH(LARGE(Customers!$F$5:$F$204,147),Customers!$F$5:$F$204,0)))</f>
      </c>
      <c r="E159" s="20">
        <f>IF(A159="","",IF(C159=0,"",D159/C159))</f>
      </c>
      <c r="F159" s="10">
        <f>IF(A159="","",F158+D159)</f>
      </c>
      <c r="G159" s="20">
        <f>IF(A159="","",F159/E$5)</f>
      </c>
    </row>
    <row r="160" spans="1:7" x14ac:dyDescent="0.25">
      <c r="A160">
        <f>IF(148&gt;COUNT(Customers!$F$5:$F$204),"",148)</f>
      </c>
      <c r="B160">
        <f>IF(A160="","",INDEX(Customers!$A$5:$A$204,MATCH(LARGE(Customers!$F$5:$F$204,148),Customers!$F$5:$F$204,0)))</f>
      </c>
      <c r="C160" s="10">
        <f>IF(A160="","",INDEX(Customers!$B$5:$B$204,MATCH(LARGE(Customers!$F$5:$F$204,148),Customers!$F$5:$F$204,0)))</f>
      </c>
      <c r="D160" s="10">
        <f>IF(A160="","",INDEX(Customers!$E$5:$E$204,MATCH(LARGE(Customers!$F$5:$F$204,148),Customers!$F$5:$F$204,0)))</f>
      </c>
      <c r="E160" s="20">
        <f>IF(A160="","",IF(C160=0,"",D160/C160))</f>
      </c>
      <c r="F160" s="10">
        <f>IF(A160="","",F159+D160)</f>
      </c>
      <c r="G160" s="20">
        <f>IF(A160="","",F160/E$5)</f>
      </c>
    </row>
    <row r="161" spans="1:7" x14ac:dyDescent="0.25">
      <c r="A161">
        <f>IF(149&gt;COUNT(Customers!$F$5:$F$204),"",149)</f>
      </c>
      <c r="B161">
        <f>IF(A161="","",INDEX(Customers!$A$5:$A$204,MATCH(LARGE(Customers!$F$5:$F$204,149),Customers!$F$5:$F$204,0)))</f>
      </c>
      <c r="C161" s="10">
        <f>IF(A161="","",INDEX(Customers!$B$5:$B$204,MATCH(LARGE(Customers!$F$5:$F$204,149),Customers!$F$5:$F$204,0)))</f>
      </c>
      <c r="D161" s="10">
        <f>IF(A161="","",INDEX(Customers!$E$5:$E$204,MATCH(LARGE(Customers!$F$5:$F$204,149),Customers!$F$5:$F$204,0)))</f>
      </c>
      <c r="E161" s="20">
        <f>IF(A161="","",IF(C161=0,"",D161/C161))</f>
      </c>
      <c r="F161" s="10">
        <f>IF(A161="","",F160+D161)</f>
      </c>
      <c r="G161" s="20">
        <f>IF(A161="","",F161/E$5)</f>
      </c>
    </row>
    <row r="162" spans="1:7" x14ac:dyDescent="0.25">
      <c r="A162">
        <f>IF(150&gt;COUNT(Customers!$F$5:$F$204),"",150)</f>
      </c>
      <c r="B162">
        <f>IF(A162="","",INDEX(Customers!$A$5:$A$204,MATCH(LARGE(Customers!$F$5:$F$204,150),Customers!$F$5:$F$204,0)))</f>
      </c>
      <c r="C162" s="10">
        <f>IF(A162="","",INDEX(Customers!$B$5:$B$204,MATCH(LARGE(Customers!$F$5:$F$204,150),Customers!$F$5:$F$204,0)))</f>
      </c>
      <c r="D162" s="10">
        <f>IF(A162="","",INDEX(Customers!$E$5:$E$204,MATCH(LARGE(Customers!$F$5:$F$204,150),Customers!$F$5:$F$204,0)))</f>
      </c>
      <c r="E162" s="20">
        <f>IF(A162="","",IF(C162=0,"",D162/C162))</f>
      </c>
      <c r="F162" s="10">
        <f>IF(A162="","",F161+D162)</f>
      </c>
      <c r="G162" s="20">
        <f>IF(A162="","",F162/E$5)</f>
      </c>
    </row>
    <row r="163" spans="1:7" x14ac:dyDescent="0.25">
      <c r="A163">
        <f>IF(151&gt;COUNT(Customers!$F$5:$F$204),"",151)</f>
      </c>
      <c r="B163">
        <f>IF(A163="","",INDEX(Customers!$A$5:$A$204,MATCH(LARGE(Customers!$F$5:$F$204,151),Customers!$F$5:$F$204,0)))</f>
      </c>
      <c r="C163" s="10">
        <f>IF(A163="","",INDEX(Customers!$B$5:$B$204,MATCH(LARGE(Customers!$F$5:$F$204,151),Customers!$F$5:$F$204,0)))</f>
      </c>
      <c r="D163" s="10">
        <f>IF(A163="","",INDEX(Customers!$E$5:$E$204,MATCH(LARGE(Customers!$F$5:$F$204,151),Customers!$F$5:$F$204,0)))</f>
      </c>
      <c r="E163" s="20">
        <f>IF(A163="","",IF(C163=0,"",D163/C163))</f>
      </c>
      <c r="F163" s="10">
        <f>IF(A163="","",F162+D163)</f>
      </c>
      <c r="G163" s="20">
        <f>IF(A163="","",F163/E$5)</f>
      </c>
    </row>
    <row r="164" spans="1:7" x14ac:dyDescent="0.25">
      <c r="A164">
        <f>IF(152&gt;COUNT(Customers!$F$5:$F$204),"",152)</f>
      </c>
      <c r="B164">
        <f>IF(A164="","",INDEX(Customers!$A$5:$A$204,MATCH(LARGE(Customers!$F$5:$F$204,152),Customers!$F$5:$F$204,0)))</f>
      </c>
      <c r="C164" s="10">
        <f>IF(A164="","",INDEX(Customers!$B$5:$B$204,MATCH(LARGE(Customers!$F$5:$F$204,152),Customers!$F$5:$F$204,0)))</f>
      </c>
      <c r="D164" s="10">
        <f>IF(A164="","",INDEX(Customers!$E$5:$E$204,MATCH(LARGE(Customers!$F$5:$F$204,152),Customers!$F$5:$F$204,0)))</f>
      </c>
      <c r="E164" s="20">
        <f>IF(A164="","",IF(C164=0,"",D164/C164))</f>
      </c>
      <c r="F164" s="10">
        <f>IF(A164="","",F163+D164)</f>
      </c>
      <c r="G164" s="20">
        <f>IF(A164="","",F164/E$5)</f>
      </c>
    </row>
    <row r="165" spans="1:7" x14ac:dyDescent="0.25">
      <c r="A165">
        <f>IF(153&gt;COUNT(Customers!$F$5:$F$204),"",153)</f>
      </c>
      <c r="B165">
        <f>IF(A165="","",INDEX(Customers!$A$5:$A$204,MATCH(LARGE(Customers!$F$5:$F$204,153),Customers!$F$5:$F$204,0)))</f>
      </c>
      <c r="C165" s="10">
        <f>IF(A165="","",INDEX(Customers!$B$5:$B$204,MATCH(LARGE(Customers!$F$5:$F$204,153),Customers!$F$5:$F$204,0)))</f>
      </c>
      <c r="D165" s="10">
        <f>IF(A165="","",INDEX(Customers!$E$5:$E$204,MATCH(LARGE(Customers!$F$5:$F$204,153),Customers!$F$5:$F$204,0)))</f>
      </c>
      <c r="E165" s="20">
        <f>IF(A165="","",IF(C165=0,"",D165/C165))</f>
      </c>
      <c r="F165" s="10">
        <f>IF(A165="","",F164+D165)</f>
      </c>
      <c r="G165" s="20">
        <f>IF(A165="","",F165/E$5)</f>
      </c>
    </row>
    <row r="166" spans="1:7" x14ac:dyDescent="0.25">
      <c r="A166">
        <f>IF(154&gt;COUNT(Customers!$F$5:$F$204),"",154)</f>
      </c>
      <c r="B166">
        <f>IF(A166="","",INDEX(Customers!$A$5:$A$204,MATCH(LARGE(Customers!$F$5:$F$204,154),Customers!$F$5:$F$204,0)))</f>
      </c>
      <c r="C166" s="10">
        <f>IF(A166="","",INDEX(Customers!$B$5:$B$204,MATCH(LARGE(Customers!$F$5:$F$204,154),Customers!$F$5:$F$204,0)))</f>
      </c>
      <c r="D166" s="10">
        <f>IF(A166="","",INDEX(Customers!$E$5:$E$204,MATCH(LARGE(Customers!$F$5:$F$204,154),Customers!$F$5:$F$204,0)))</f>
      </c>
      <c r="E166" s="20">
        <f>IF(A166="","",IF(C166=0,"",D166/C166))</f>
      </c>
      <c r="F166" s="10">
        <f>IF(A166="","",F165+D166)</f>
      </c>
      <c r="G166" s="20">
        <f>IF(A166="","",F166/E$5)</f>
      </c>
    </row>
    <row r="167" spans="1:7" x14ac:dyDescent="0.25">
      <c r="A167">
        <f>IF(155&gt;COUNT(Customers!$F$5:$F$204),"",155)</f>
      </c>
      <c r="B167">
        <f>IF(A167="","",INDEX(Customers!$A$5:$A$204,MATCH(LARGE(Customers!$F$5:$F$204,155),Customers!$F$5:$F$204,0)))</f>
      </c>
      <c r="C167" s="10">
        <f>IF(A167="","",INDEX(Customers!$B$5:$B$204,MATCH(LARGE(Customers!$F$5:$F$204,155),Customers!$F$5:$F$204,0)))</f>
      </c>
      <c r="D167" s="10">
        <f>IF(A167="","",INDEX(Customers!$E$5:$E$204,MATCH(LARGE(Customers!$F$5:$F$204,155),Customers!$F$5:$F$204,0)))</f>
      </c>
      <c r="E167" s="20">
        <f>IF(A167="","",IF(C167=0,"",D167/C167))</f>
      </c>
      <c r="F167" s="10">
        <f>IF(A167="","",F166+D167)</f>
      </c>
      <c r="G167" s="20">
        <f>IF(A167="","",F167/E$5)</f>
      </c>
    </row>
    <row r="168" spans="1:7" x14ac:dyDescent="0.25">
      <c r="A168">
        <f>IF(156&gt;COUNT(Customers!$F$5:$F$204),"",156)</f>
      </c>
      <c r="B168">
        <f>IF(A168="","",INDEX(Customers!$A$5:$A$204,MATCH(LARGE(Customers!$F$5:$F$204,156),Customers!$F$5:$F$204,0)))</f>
      </c>
      <c r="C168" s="10">
        <f>IF(A168="","",INDEX(Customers!$B$5:$B$204,MATCH(LARGE(Customers!$F$5:$F$204,156),Customers!$F$5:$F$204,0)))</f>
      </c>
      <c r="D168" s="10">
        <f>IF(A168="","",INDEX(Customers!$E$5:$E$204,MATCH(LARGE(Customers!$F$5:$F$204,156),Customers!$F$5:$F$204,0)))</f>
      </c>
      <c r="E168" s="20">
        <f>IF(A168="","",IF(C168=0,"",D168/C168))</f>
      </c>
      <c r="F168" s="10">
        <f>IF(A168="","",F167+D168)</f>
      </c>
      <c r="G168" s="20">
        <f>IF(A168="","",F168/E$5)</f>
      </c>
    </row>
    <row r="169" spans="1:7" x14ac:dyDescent="0.25">
      <c r="A169">
        <f>IF(157&gt;COUNT(Customers!$F$5:$F$204),"",157)</f>
      </c>
      <c r="B169">
        <f>IF(A169="","",INDEX(Customers!$A$5:$A$204,MATCH(LARGE(Customers!$F$5:$F$204,157),Customers!$F$5:$F$204,0)))</f>
      </c>
      <c r="C169" s="10">
        <f>IF(A169="","",INDEX(Customers!$B$5:$B$204,MATCH(LARGE(Customers!$F$5:$F$204,157),Customers!$F$5:$F$204,0)))</f>
      </c>
      <c r="D169" s="10">
        <f>IF(A169="","",INDEX(Customers!$E$5:$E$204,MATCH(LARGE(Customers!$F$5:$F$204,157),Customers!$F$5:$F$204,0)))</f>
      </c>
      <c r="E169" s="20">
        <f>IF(A169="","",IF(C169=0,"",D169/C169))</f>
      </c>
      <c r="F169" s="10">
        <f>IF(A169="","",F168+D169)</f>
      </c>
      <c r="G169" s="20">
        <f>IF(A169="","",F169/E$5)</f>
      </c>
    </row>
    <row r="170" spans="1:7" x14ac:dyDescent="0.25">
      <c r="A170">
        <f>IF(158&gt;COUNT(Customers!$F$5:$F$204),"",158)</f>
      </c>
      <c r="B170">
        <f>IF(A170="","",INDEX(Customers!$A$5:$A$204,MATCH(LARGE(Customers!$F$5:$F$204,158),Customers!$F$5:$F$204,0)))</f>
      </c>
      <c r="C170" s="10">
        <f>IF(A170="","",INDEX(Customers!$B$5:$B$204,MATCH(LARGE(Customers!$F$5:$F$204,158),Customers!$F$5:$F$204,0)))</f>
      </c>
      <c r="D170" s="10">
        <f>IF(A170="","",INDEX(Customers!$E$5:$E$204,MATCH(LARGE(Customers!$F$5:$F$204,158),Customers!$F$5:$F$204,0)))</f>
      </c>
      <c r="E170" s="20">
        <f>IF(A170="","",IF(C170=0,"",D170/C170))</f>
      </c>
      <c r="F170" s="10">
        <f>IF(A170="","",F169+D170)</f>
      </c>
      <c r="G170" s="20">
        <f>IF(A170="","",F170/E$5)</f>
      </c>
    </row>
    <row r="171" spans="1:7" x14ac:dyDescent="0.25">
      <c r="A171">
        <f>IF(159&gt;COUNT(Customers!$F$5:$F$204),"",159)</f>
      </c>
      <c r="B171">
        <f>IF(A171="","",INDEX(Customers!$A$5:$A$204,MATCH(LARGE(Customers!$F$5:$F$204,159),Customers!$F$5:$F$204,0)))</f>
      </c>
      <c r="C171" s="10">
        <f>IF(A171="","",INDEX(Customers!$B$5:$B$204,MATCH(LARGE(Customers!$F$5:$F$204,159),Customers!$F$5:$F$204,0)))</f>
      </c>
      <c r="D171" s="10">
        <f>IF(A171="","",INDEX(Customers!$E$5:$E$204,MATCH(LARGE(Customers!$F$5:$F$204,159),Customers!$F$5:$F$204,0)))</f>
      </c>
      <c r="E171" s="20">
        <f>IF(A171="","",IF(C171=0,"",D171/C171))</f>
      </c>
      <c r="F171" s="10">
        <f>IF(A171="","",F170+D171)</f>
      </c>
      <c r="G171" s="20">
        <f>IF(A171="","",F171/E$5)</f>
      </c>
    </row>
    <row r="172" spans="1:7" x14ac:dyDescent="0.25">
      <c r="A172">
        <f>IF(160&gt;COUNT(Customers!$F$5:$F$204),"",160)</f>
      </c>
      <c r="B172">
        <f>IF(A172="","",INDEX(Customers!$A$5:$A$204,MATCH(LARGE(Customers!$F$5:$F$204,160),Customers!$F$5:$F$204,0)))</f>
      </c>
      <c r="C172" s="10">
        <f>IF(A172="","",INDEX(Customers!$B$5:$B$204,MATCH(LARGE(Customers!$F$5:$F$204,160),Customers!$F$5:$F$204,0)))</f>
      </c>
      <c r="D172" s="10">
        <f>IF(A172="","",INDEX(Customers!$E$5:$E$204,MATCH(LARGE(Customers!$F$5:$F$204,160),Customers!$F$5:$F$204,0)))</f>
      </c>
      <c r="E172" s="20">
        <f>IF(A172="","",IF(C172=0,"",D172/C172))</f>
      </c>
      <c r="F172" s="10">
        <f>IF(A172="","",F171+D172)</f>
      </c>
      <c r="G172" s="20">
        <f>IF(A172="","",F172/E$5)</f>
      </c>
    </row>
    <row r="173" spans="1:7" x14ac:dyDescent="0.25">
      <c r="A173">
        <f>IF(161&gt;COUNT(Customers!$F$5:$F$204),"",161)</f>
      </c>
      <c r="B173">
        <f>IF(A173="","",INDEX(Customers!$A$5:$A$204,MATCH(LARGE(Customers!$F$5:$F$204,161),Customers!$F$5:$F$204,0)))</f>
      </c>
      <c r="C173" s="10">
        <f>IF(A173="","",INDEX(Customers!$B$5:$B$204,MATCH(LARGE(Customers!$F$5:$F$204,161),Customers!$F$5:$F$204,0)))</f>
      </c>
      <c r="D173" s="10">
        <f>IF(A173="","",INDEX(Customers!$E$5:$E$204,MATCH(LARGE(Customers!$F$5:$F$204,161),Customers!$F$5:$F$204,0)))</f>
      </c>
      <c r="E173" s="20">
        <f>IF(A173="","",IF(C173=0,"",D173/C173))</f>
      </c>
      <c r="F173" s="10">
        <f>IF(A173="","",F172+D173)</f>
      </c>
      <c r="G173" s="20">
        <f>IF(A173="","",F173/E$5)</f>
      </c>
    </row>
    <row r="174" spans="1:7" x14ac:dyDescent="0.25">
      <c r="A174">
        <f>IF(162&gt;COUNT(Customers!$F$5:$F$204),"",162)</f>
      </c>
      <c r="B174">
        <f>IF(A174="","",INDEX(Customers!$A$5:$A$204,MATCH(LARGE(Customers!$F$5:$F$204,162),Customers!$F$5:$F$204,0)))</f>
      </c>
      <c r="C174" s="10">
        <f>IF(A174="","",INDEX(Customers!$B$5:$B$204,MATCH(LARGE(Customers!$F$5:$F$204,162),Customers!$F$5:$F$204,0)))</f>
      </c>
      <c r="D174" s="10">
        <f>IF(A174="","",INDEX(Customers!$E$5:$E$204,MATCH(LARGE(Customers!$F$5:$F$204,162),Customers!$F$5:$F$204,0)))</f>
      </c>
      <c r="E174" s="20">
        <f>IF(A174="","",IF(C174=0,"",D174/C174))</f>
      </c>
      <c r="F174" s="10">
        <f>IF(A174="","",F173+D174)</f>
      </c>
      <c r="G174" s="20">
        <f>IF(A174="","",F174/E$5)</f>
      </c>
    </row>
    <row r="175" spans="1:7" x14ac:dyDescent="0.25">
      <c r="A175">
        <f>IF(163&gt;COUNT(Customers!$F$5:$F$204),"",163)</f>
      </c>
      <c r="B175">
        <f>IF(A175="","",INDEX(Customers!$A$5:$A$204,MATCH(LARGE(Customers!$F$5:$F$204,163),Customers!$F$5:$F$204,0)))</f>
      </c>
      <c r="C175" s="10">
        <f>IF(A175="","",INDEX(Customers!$B$5:$B$204,MATCH(LARGE(Customers!$F$5:$F$204,163),Customers!$F$5:$F$204,0)))</f>
      </c>
      <c r="D175" s="10">
        <f>IF(A175="","",INDEX(Customers!$E$5:$E$204,MATCH(LARGE(Customers!$F$5:$F$204,163),Customers!$F$5:$F$204,0)))</f>
      </c>
      <c r="E175" s="20">
        <f>IF(A175="","",IF(C175=0,"",D175/C175))</f>
      </c>
      <c r="F175" s="10">
        <f>IF(A175="","",F174+D175)</f>
      </c>
      <c r="G175" s="20">
        <f>IF(A175="","",F175/E$5)</f>
      </c>
    </row>
    <row r="176" spans="1:7" x14ac:dyDescent="0.25">
      <c r="A176">
        <f>IF(164&gt;COUNT(Customers!$F$5:$F$204),"",164)</f>
      </c>
      <c r="B176">
        <f>IF(A176="","",INDEX(Customers!$A$5:$A$204,MATCH(LARGE(Customers!$F$5:$F$204,164),Customers!$F$5:$F$204,0)))</f>
      </c>
      <c r="C176" s="10">
        <f>IF(A176="","",INDEX(Customers!$B$5:$B$204,MATCH(LARGE(Customers!$F$5:$F$204,164),Customers!$F$5:$F$204,0)))</f>
      </c>
      <c r="D176" s="10">
        <f>IF(A176="","",INDEX(Customers!$E$5:$E$204,MATCH(LARGE(Customers!$F$5:$F$204,164),Customers!$F$5:$F$204,0)))</f>
      </c>
      <c r="E176" s="20">
        <f>IF(A176="","",IF(C176=0,"",D176/C176))</f>
      </c>
      <c r="F176" s="10">
        <f>IF(A176="","",F175+D176)</f>
      </c>
      <c r="G176" s="20">
        <f>IF(A176="","",F176/E$5)</f>
      </c>
    </row>
    <row r="177" spans="1:7" x14ac:dyDescent="0.25">
      <c r="A177">
        <f>IF(165&gt;COUNT(Customers!$F$5:$F$204),"",165)</f>
      </c>
      <c r="B177">
        <f>IF(A177="","",INDEX(Customers!$A$5:$A$204,MATCH(LARGE(Customers!$F$5:$F$204,165),Customers!$F$5:$F$204,0)))</f>
      </c>
      <c r="C177" s="10">
        <f>IF(A177="","",INDEX(Customers!$B$5:$B$204,MATCH(LARGE(Customers!$F$5:$F$204,165),Customers!$F$5:$F$204,0)))</f>
      </c>
      <c r="D177" s="10">
        <f>IF(A177="","",INDEX(Customers!$E$5:$E$204,MATCH(LARGE(Customers!$F$5:$F$204,165),Customers!$F$5:$F$204,0)))</f>
      </c>
      <c r="E177" s="20">
        <f>IF(A177="","",IF(C177=0,"",D177/C177))</f>
      </c>
      <c r="F177" s="10">
        <f>IF(A177="","",F176+D177)</f>
      </c>
      <c r="G177" s="20">
        <f>IF(A177="","",F177/E$5)</f>
      </c>
    </row>
    <row r="178" spans="1:7" x14ac:dyDescent="0.25">
      <c r="A178">
        <f>IF(166&gt;COUNT(Customers!$F$5:$F$204),"",166)</f>
      </c>
      <c r="B178">
        <f>IF(A178="","",INDEX(Customers!$A$5:$A$204,MATCH(LARGE(Customers!$F$5:$F$204,166),Customers!$F$5:$F$204,0)))</f>
      </c>
      <c r="C178" s="10">
        <f>IF(A178="","",INDEX(Customers!$B$5:$B$204,MATCH(LARGE(Customers!$F$5:$F$204,166),Customers!$F$5:$F$204,0)))</f>
      </c>
      <c r="D178" s="10">
        <f>IF(A178="","",INDEX(Customers!$E$5:$E$204,MATCH(LARGE(Customers!$F$5:$F$204,166),Customers!$F$5:$F$204,0)))</f>
      </c>
      <c r="E178" s="20">
        <f>IF(A178="","",IF(C178=0,"",D178/C178))</f>
      </c>
      <c r="F178" s="10">
        <f>IF(A178="","",F177+D178)</f>
      </c>
      <c r="G178" s="20">
        <f>IF(A178="","",F178/E$5)</f>
      </c>
    </row>
    <row r="179" spans="1:7" x14ac:dyDescent="0.25">
      <c r="A179">
        <f>IF(167&gt;COUNT(Customers!$F$5:$F$204),"",167)</f>
      </c>
      <c r="B179">
        <f>IF(A179="","",INDEX(Customers!$A$5:$A$204,MATCH(LARGE(Customers!$F$5:$F$204,167),Customers!$F$5:$F$204,0)))</f>
      </c>
      <c r="C179" s="10">
        <f>IF(A179="","",INDEX(Customers!$B$5:$B$204,MATCH(LARGE(Customers!$F$5:$F$204,167),Customers!$F$5:$F$204,0)))</f>
      </c>
      <c r="D179" s="10">
        <f>IF(A179="","",INDEX(Customers!$E$5:$E$204,MATCH(LARGE(Customers!$F$5:$F$204,167),Customers!$F$5:$F$204,0)))</f>
      </c>
      <c r="E179" s="20">
        <f>IF(A179="","",IF(C179=0,"",D179/C179))</f>
      </c>
      <c r="F179" s="10">
        <f>IF(A179="","",F178+D179)</f>
      </c>
      <c r="G179" s="20">
        <f>IF(A179="","",F179/E$5)</f>
      </c>
    </row>
    <row r="180" spans="1:7" x14ac:dyDescent="0.25">
      <c r="A180">
        <f>IF(168&gt;COUNT(Customers!$F$5:$F$204),"",168)</f>
      </c>
      <c r="B180">
        <f>IF(A180="","",INDEX(Customers!$A$5:$A$204,MATCH(LARGE(Customers!$F$5:$F$204,168),Customers!$F$5:$F$204,0)))</f>
      </c>
      <c r="C180" s="10">
        <f>IF(A180="","",INDEX(Customers!$B$5:$B$204,MATCH(LARGE(Customers!$F$5:$F$204,168),Customers!$F$5:$F$204,0)))</f>
      </c>
      <c r="D180" s="10">
        <f>IF(A180="","",INDEX(Customers!$E$5:$E$204,MATCH(LARGE(Customers!$F$5:$F$204,168),Customers!$F$5:$F$204,0)))</f>
      </c>
      <c r="E180" s="20">
        <f>IF(A180="","",IF(C180=0,"",D180/C180))</f>
      </c>
      <c r="F180" s="10">
        <f>IF(A180="","",F179+D180)</f>
      </c>
      <c r="G180" s="20">
        <f>IF(A180="","",F180/E$5)</f>
      </c>
    </row>
    <row r="181" spans="1:7" x14ac:dyDescent="0.25">
      <c r="A181">
        <f>IF(169&gt;COUNT(Customers!$F$5:$F$204),"",169)</f>
      </c>
      <c r="B181">
        <f>IF(A181="","",INDEX(Customers!$A$5:$A$204,MATCH(LARGE(Customers!$F$5:$F$204,169),Customers!$F$5:$F$204,0)))</f>
      </c>
      <c r="C181" s="10">
        <f>IF(A181="","",INDEX(Customers!$B$5:$B$204,MATCH(LARGE(Customers!$F$5:$F$204,169),Customers!$F$5:$F$204,0)))</f>
      </c>
      <c r="D181" s="10">
        <f>IF(A181="","",INDEX(Customers!$E$5:$E$204,MATCH(LARGE(Customers!$F$5:$F$204,169),Customers!$F$5:$F$204,0)))</f>
      </c>
      <c r="E181" s="20">
        <f>IF(A181="","",IF(C181=0,"",D181/C181))</f>
      </c>
      <c r="F181" s="10">
        <f>IF(A181="","",F180+D181)</f>
      </c>
      <c r="G181" s="20">
        <f>IF(A181="","",F181/E$5)</f>
      </c>
    </row>
    <row r="182" spans="1:7" x14ac:dyDescent="0.25">
      <c r="A182">
        <f>IF(170&gt;COUNT(Customers!$F$5:$F$204),"",170)</f>
      </c>
      <c r="B182">
        <f>IF(A182="","",INDEX(Customers!$A$5:$A$204,MATCH(LARGE(Customers!$F$5:$F$204,170),Customers!$F$5:$F$204,0)))</f>
      </c>
      <c r="C182" s="10">
        <f>IF(A182="","",INDEX(Customers!$B$5:$B$204,MATCH(LARGE(Customers!$F$5:$F$204,170),Customers!$F$5:$F$204,0)))</f>
      </c>
      <c r="D182" s="10">
        <f>IF(A182="","",INDEX(Customers!$E$5:$E$204,MATCH(LARGE(Customers!$F$5:$F$204,170),Customers!$F$5:$F$204,0)))</f>
      </c>
      <c r="E182" s="20">
        <f>IF(A182="","",IF(C182=0,"",D182/C182))</f>
      </c>
      <c r="F182" s="10">
        <f>IF(A182="","",F181+D182)</f>
      </c>
      <c r="G182" s="20">
        <f>IF(A182="","",F182/E$5)</f>
      </c>
    </row>
    <row r="183" spans="1:7" x14ac:dyDescent="0.25">
      <c r="A183">
        <f>IF(171&gt;COUNT(Customers!$F$5:$F$204),"",171)</f>
      </c>
      <c r="B183">
        <f>IF(A183="","",INDEX(Customers!$A$5:$A$204,MATCH(LARGE(Customers!$F$5:$F$204,171),Customers!$F$5:$F$204,0)))</f>
      </c>
      <c r="C183" s="10">
        <f>IF(A183="","",INDEX(Customers!$B$5:$B$204,MATCH(LARGE(Customers!$F$5:$F$204,171),Customers!$F$5:$F$204,0)))</f>
      </c>
      <c r="D183" s="10">
        <f>IF(A183="","",INDEX(Customers!$E$5:$E$204,MATCH(LARGE(Customers!$F$5:$F$204,171),Customers!$F$5:$F$204,0)))</f>
      </c>
      <c r="E183" s="20">
        <f>IF(A183="","",IF(C183=0,"",D183/C183))</f>
      </c>
      <c r="F183" s="10">
        <f>IF(A183="","",F182+D183)</f>
      </c>
      <c r="G183" s="20">
        <f>IF(A183="","",F183/E$5)</f>
      </c>
    </row>
    <row r="184" spans="1:7" x14ac:dyDescent="0.25">
      <c r="A184">
        <f>IF(172&gt;COUNT(Customers!$F$5:$F$204),"",172)</f>
      </c>
      <c r="B184">
        <f>IF(A184="","",INDEX(Customers!$A$5:$A$204,MATCH(LARGE(Customers!$F$5:$F$204,172),Customers!$F$5:$F$204,0)))</f>
      </c>
      <c r="C184" s="10">
        <f>IF(A184="","",INDEX(Customers!$B$5:$B$204,MATCH(LARGE(Customers!$F$5:$F$204,172),Customers!$F$5:$F$204,0)))</f>
      </c>
      <c r="D184" s="10">
        <f>IF(A184="","",INDEX(Customers!$E$5:$E$204,MATCH(LARGE(Customers!$F$5:$F$204,172),Customers!$F$5:$F$204,0)))</f>
      </c>
      <c r="E184" s="20">
        <f>IF(A184="","",IF(C184=0,"",D184/C184))</f>
      </c>
      <c r="F184" s="10">
        <f>IF(A184="","",F183+D184)</f>
      </c>
      <c r="G184" s="20">
        <f>IF(A184="","",F184/E$5)</f>
      </c>
    </row>
    <row r="185" spans="1:7" x14ac:dyDescent="0.25">
      <c r="A185">
        <f>IF(173&gt;COUNT(Customers!$F$5:$F$204),"",173)</f>
      </c>
      <c r="B185">
        <f>IF(A185="","",INDEX(Customers!$A$5:$A$204,MATCH(LARGE(Customers!$F$5:$F$204,173),Customers!$F$5:$F$204,0)))</f>
      </c>
      <c r="C185" s="10">
        <f>IF(A185="","",INDEX(Customers!$B$5:$B$204,MATCH(LARGE(Customers!$F$5:$F$204,173),Customers!$F$5:$F$204,0)))</f>
      </c>
      <c r="D185" s="10">
        <f>IF(A185="","",INDEX(Customers!$E$5:$E$204,MATCH(LARGE(Customers!$F$5:$F$204,173),Customers!$F$5:$F$204,0)))</f>
      </c>
      <c r="E185" s="20">
        <f>IF(A185="","",IF(C185=0,"",D185/C185))</f>
      </c>
      <c r="F185" s="10">
        <f>IF(A185="","",F184+D185)</f>
      </c>
      <c r="G185" s="20">
        <f>IF(A185="","",F185/E$5)</f>
      </c>
    </row>
    <row r="186" spans="1:7" x14ac:dyDescent="0.25">
      <c r="A186">
        <f>IF(174&gt;COUNT(Customers!$F$5:$F$204),"",174)</f>
      </c>
      <c r="B186">
        <f>IF(A186="","",INDEX(Customers!$A$5:$A$204,MATCH(LARGE(Customers!$F$5:$F$204,174),Customers!$F$5:$F$204,0)))</f>
      </c>
      <c r="C186" s="10">
        <f>IF(A186="","",INDEX(Customers!$B$5:$B$204,MATCH(LARGE(Customers!$F$5:$F$204,174),Customers!$F$5:$F$204,0)))</f>
      </c>
      <c r="D186" s="10">
        <f>IF(A186="","",INDEX(Customers!$E$5:$E$204,MATCH(LARGE(Customers!$F$5:$F$204,174),Customers!$F$5:$F$204,0)))</f>
      </c>
      <c r="E186" s="20">
        <f>IF(A186="","",IF(C186=0,"",D186/C186))</f>
      </c>
      <c r="F186" s="10">
        <f>IF(A186="","",F185+D186)</f>
      </c>
      <c r="G186" s="20">
        <f>IF(A186="","",F186/E$5)</f>
      </c>
    </row>
    <row r="187" spans="1:7" x14ac:dyDescent="0.25">
      <c r="A187">
        <f>IF(175&gt;COUNT(Customers!$F$5:$F$204),"",175)</f>
      </c>
      <c r="B187">
        <f>IF(A187="","",INDEX(Customers!$A$5:$A$204,MATCH(LARGE(Customers!$F$5:$F$204,175),Customers!$F$5:$F$204,0)))</f>
      </c>
      <c r="C187" s="10">
        <f>IF(A187="","",INDEX(Customers!$B$5:$B$204,MATCH(LARGE(Customers!$F$5:$F$204,175),Customers!$F$5:$F$204,0)))</f>
      </c>
      <c r="D187" s="10">
        <f>IF(A187="","",INDEX(Customers!$E$5:$E$204,MATCH(LARGE(Customers!$F$5:$F$204,175),Customers!$F$5:$F$204,0)))</f>
      </c>
      <c r="E187" s="20">
        <f>IF(A187="","",IF(C187=0,"",D187/C187))</f>
      </c>
      <c r="F187" s="10">
        <f>IF(A187="","",F186+D187)</f>
      </c>
      <c r="G187" s="20">
        <f>IF(A187="","",F187/E$5)</f>
      </c>
    </row>
    <row r="188" spans="1:7" x14ac:dyDescent="0.25">
      <c r="A188">
        <f>IF(176&gt;COUNT(Customers!$F$5:$F$204),"",176)</f>
      </c>
      <c r="B188">
        <f>IF(A188="","",INDEX(Customers!$A$5:$A$204,MATCH(LARGE(Customers!$F$5:$F$204,176),Customers!$F$5:$F$204,0)))</f>
      </c>
      <c r="C188" s="10">
        <f>IF(A188="","",INDEX(Customers!$B$5:$B$204,MATCH(LARGE(Customers!$F$5:$F$204,176),Customers!$F$5:$F$204,0)))</f>
      </c>
      <c r="D188" s="10">
        <f>IF(A188="","",INDEX(Customers!$E$5:$E$204,MATCH(LARGE(Customers!$F$5:$F$204,176),Customers!$F$5:$F$204,0)))</f>
      </c>
      <c r="E188" s="20">
        <f>IF(A188="","",IF(C188=0,"",D188/C188))</f>
      </c>
      <c r="F188" s="10">
        <f>IF(A188="","",F187+D188)</f>
      </c>
      <c r="G188" s="20">
        <f>IF(A188="","",F188/E$5)</f>
      </c>
    </row>
    <row r="189" spans="1:7" x14ac:dyDescent="0.25">
      <c r="A189">
        <f>IF(177&gt;COUNT(Customers!$F$5:$F$204),"",177)</f>
      </c>
      <c r="B189">
        <f>IF(A189="","",INDEX(Customers!$A$5:$A$204,MATCH(LARGE(Customers!$F$5:$F$204,177),Customers!$F$5:$F$204,0)))</f>
      </c>
      <c r="C189" s="10">
        <f>IF(A189="","",INDEX(Customers!$B$5:$B$204,MATCH(LARGE(Customers!$F$5:$F$204,177),Customers!$F$5:$F$204,0)))</f>
      </c>
      <c r="D189" s="10">
        <f>IF(A189="","",INDEX(Customers!$E$5:$E$204,MATCH(LARGE(Customers!$F$5:$F$204,177),Customers!$F$5:$F$204,0)))</f>
      </c>
      <c r="E189" s="20">
        <f>IF(A189="","",IF(C189=0,"",D189/C189))</f>
      </c>
      <c r="F189" s="10">
        <f>IF(A189="","",F188+D189)</f>
      </c>
      <c r="G189" s="20">
        <f>IF(A189="","",F189/E$5)</f>
      </c>
    </row>
    <row r="190" spans="1:7" x14ac:dyDescent="0.25">
      <c r="A190">
        <f>IF(178&gt;COUNT(Customers!$F$5:$F$204),"",178)</f>
      </c>
      <c r="B190">
        <f>IF(A190="","",INDEX(Customers!$A$5:$A$204,MATCH(LARGE(Customers!$F$5:$F$204,178),Customers!$F$5:$F$204,0)))</f>
      </c>
      <c r="C190" s="10">
        <f>IF(A190="","",INDEX(Customers!$B$5:$B$204,MATCH(LARGE(Customers!$F$5:$F$204,178),Customers!$F$5:$F$204,0)))</f>
      </c>
      <c r="D190" s="10">
        <f>IF(A190="","",INDEX(Customers!$E$5:$E$204,MATCH(LARGE(Customers!$F$5:$F$204,178),Customers!$F$5:$F$204,0)))</f>
      </c>
      <c r="E190" s="20">
        <f>IF(A190="","",IF(C190=0,"",D190/C190))</f>
      </c>
      <c r="F190" s="10">
        <f>IF(A190="","",F189+D190)</f>
      </c>
      <c r="G190" s="20">
        <f>IF(A190="","",F190/E$5)</f>
      </c>
    </row>
    <row r="191" spans="1:7" x14ac:dyDescent="0.25">
      <c r="A191">
        <f>IF(179&gt;COUNT(Customers!$F$5:$F$204),"",179)</f>
      </c>
      <c r="B191">
        <f>IF(A191="","",INDEX(Customers!$A$5:$A$204,MATCH(LARGE(Customers!$F$5:$F$204,179),Customers!$F$5:$F$204,0)))</f>
      </c>
      <c r="C191" s="10">
        <f>IF(A191="","",INDEX(Customers!$B$5:$B$204,MATCH(LARGE(Customers!$F$5:$F$204,179),Customers!$F$5:$F$204,0)))</f>
      </c>
      <c r="D191" s="10">
        <f>IF(A191="","",INDEX(Customers!$E$5:$E$204,MATCH(LARGE(Customers!$F$5:$F$204,179),Customers!$F$5:$F$204,0)))</f>
      </c>
      <c r="E191" s="20">
        <f>IF(A191="","",IF(C191=0,"",D191/C191))</f>
      </c>
      <c r="F191" s="10">
        <f>IF(A191="","",F190+D191)</f>
      </c>
      <c r="G191" s="20">
        <f>IF(A191="","",F191/E$5)</f>
      </c>
    </row>
    <row r="192" spans="1:7" x14ac:dyDescent="0.25">
      <c r="A192">
        <f>IF(180&gt;COUNT(Customers!$F$5:$F$204),"",180)</f>
      </c>
      <c r="B192">
        <f>IF(A192="","",INDEX(Customers!$A$5:$A$204,MATCH(LARGE(Customers!$F$5:$F$204,180),Customers!$F$5:$F$204,0)))</f>
      </c>
      <c r="C192" s="10">
        <f>IF(A192="","",INDEX(Customers!$B$5:$B$204,MATCH(LARGE(Customers!$F$5:$F$204,180),Customers!$F$5:$F$204,0)))</f>
      </c>
      <c r="D192" s="10">
        <f>IF(A192="","",INDEX(Customers!$E$5:$E$204,MATCH(LARGE(Customers!$F$5:$F$204,180),Customers!$F$5:$F$204,0)))</f>
      </c>
      <c r="E192" s="20">
        <f>IF(A192="","",IF(C192=0,"",D192/C192))</f>
      </c>
      <c r="F192" s="10">
        <f>IF(A192="","",F191+D192)</f>
      </c>
      <c r="G192" s="20">
        <f>IF(A192="","",F192/E$5)</f>
      </c>
    </row>
    <row r="193" spans="1:7" x14ac:dyDescent="0.25">
      <c r="A193">
        <f>IF(181&gt;COUNT(Customers!$F$5:$F$204),"",181)</f>
      </c>
      <c r="B193">
        <f>IF(A193="","",INDEX(Customers!$A$5:$A$204,MATCH(LARGE(Customers!$F$5:$F$204,181),Customers!$F$5:$F$204,0)))</f>
      </c>
      <c r="C193" s="10">
        <f>IF(A193="","",INDEX(Customers!$B$5:$B$204,MATCH(LARGE(Customers!$F$5:$F$204,181),Customers!$F$5:$F$204,0)))</f>
      </c>
      <c r="D193" s="10">
        <f>IF(A193="","",INDEX(Customers!$E$5:$E$204,MATCH(LARGE(Customers!$F$5:$F$204,181),Customers!$F$5:$F$204,0)))</f>
      </c>
      <c r="E193" s="20">
        <f>IF(A193="","",IF(C193=0,"",D193/C193))</f>
      </c>
      <c r="F193" s="10">
        <f>IF(A193="","",F192+D193)</f>
      </c>
      <c r="G193" s="20">
        <f>IF(A193="","",F193/E$5)</f>
      </c>
    </row>
    <row r="194" spans="1:7" x14ac:dyDescent="0.25">
      <c r="A194">
        <f>IF(182&gt;COUNT(Customers!$F$5:$F$204),"",182)</f>
      </c>
      <c r="B194">
        <f>IF(A194="","",INDEX(Customers!$A$5:$A$204,MATCH(LARGE(Customers!$F$5:$F$204,182),Customers!$F$5:$F$204,0)))</f>
      </c>
      <c r="C194" s="10">
        <f>IF(A194="","",INDEX(Customers!$B$5:$B$204,MATCH(LARGE(Customers!$F$5:$F$204,182),Customers!$F$5:$F$204,0)))</f>
      </c>
      <c r="D194" s="10">
        <f>IF(A194="","",INDEX(Customers!$E$5:$E$204,MATCH(LARGE(Customers!$F$5:$F$204,182),Customers!$F$5:$F$204,0)))</f>
      </c>
      <c r="E194" s="20">
        <f>IF(A194="","",IF(C194=0,"",D194/C194))</f>
      </c>
      <c r="F194" s="10">
        <f>IF(A194="","",F193+D194)</f>
      </c>
      <c r="G194" s="20">
        <f>IF(A194="","",F194/E$5)</f>
      </c>
    </row>
    <row r="195" spans="1:7" x14ac:dyDescent="0.25">
      <c r="A195">
        <f>IF(183&gt;COUNT(Customers!$F$5:$F$204),"",183)</f>
      </c>
      <c r="B195">
        <f>IF(A195="","",INDEX(Customers!$A$5:$A$204,MATCH(LARGE(Customers!$F$5:$F$204,183),Customers!$F$5:$F$204,0)))</f>
      </c>
      <c r="C195" s="10">
        <f>IF(A195="","",INDEX(Customers!$B$5:$B$204,MATCH(LARGE(Customers!$F$5:$F$204,183),Customers!$F$5:$F$204,0)))</f>
      </c>
      <c r="D195" s="10">
        <f>IF(A195="","",INDEX(Customers!$E$5:$E$204,MATCH(LARGE(Customers!$F$5:$F$204,183),Customers!$F$5:$F$204,0)))</f>
      </c>
      <c r="E195" s="20">
        <f>IF(A195="","",IF(C195=0,"",D195/C195))</f>
      </c>
      <c r="F195" s="10">
        <f>IF(A195="","",F194+D195)</f>
      </c>
      <c r="G195" s="20">
        <f>IF(A195="","",F195/E$5)</f>
      </c>
    </row>
    <row r="196" spans="1:7" x14ac:dyDescent="0.25">
      <c r="A196">
        <f>IF(184&gt;COUNT(Customers!$F$5:$F$204),"",184)</f>
      </c>
      <c r="B196">
        <f>IF(A196="","",INDEX(Customers!$A$5:$A$204,MATCH(LARGE(Customers!$F$5:$F$204,184),Customers!$F$5:$F$204,0)))</f>
      </c>
      <c r="C196" s="10">
        <f>IF(A196="","",INDEX(Customers!$B$5:$B$204,MATCH(LARGE(Customers!$F$5:$F$204,184),Customers!$F$5:$F$204,0)))</f>
      </c>
      <c r="D196" s="10">
        <f>IF(A196="","",INDEX(Customers!$E$5:$E$204,MATCH(LARGE(Customers!$F$5:$F$204,184),Customers!$F$5:$F$204,0)))</f>
      </c>
      <c r="E196" s="20">
        <f>IF(A196="","",IF(C196=0,"",D196/C196))</f>
      </c>
      <c r="F196" s="10">
        <f>IF(A196="","",F195+D196)</f>
      </c>
      <c r="G196" s="20">
        <f>IF(A196="","",F196/E$5)</f>
      </c>
    </row>
    <row r="197" spans="1:7" x14ac:dyDescent="0.25">
      <c r="A197">
        <f>IF(185&gt;COUNT(Customers!$F$5:$F$204),"",185)</f>
      </c>
      <c r="B197">
        <f>IF(A197="","",INDEX(Customers!$A$5:$A$204,MATCH(LARGE(Customers!$F$5:$F$204,185),Customers!$F$5:$F$204,0)))</f>
      </c>
      <c r="C197" s="10">
        <f>IF(A197="","",INDEX(Customers!$B$5:$B$204,MATCH(LARGE(Customers!$F$5:$F$204,185),Customers!$F$5:$F$204,0)))</f>
      </c>
      <c r="D197" s="10">
        <f>IF(A197="","",INDEX(Customers!$E$5:$E$204,MATCH(LARGE(Customers!$F$5:$F$204,185),Customers!$F$5:$F$204,0)))</f>
      </c>
      <c r="E197" s="20">
        <f>IF(A197="","",IF(C197=0,"",D197/C197))</f>
      </c>
      <c r="F197" s="10">
        <f>IF(A197="","",F196+D197)</f>
      </c>
      <c r="G197" s="20">
        <f>IF(A197="","",F197/E$5)</f>
      </c>
    </row>
    <row r="198" spans="1:7" x14ac:dyDescent="0.25">
      <c r="A198">
        <f>IF(186&gt;COUNT(Customers!$F$5:$F$204),"",186)</f>
      </c>
      <c r="B198">
        <f>IF(A198="","",INDEX(Customers!$A$5:$A$204,MATCH(LARGE(Customers!$F$5:$F$204,186),Customers!$F$5:$F$204,0)))</f>
      </c>
      <c r="C198" s="10">
        <f>IF(A198="","",INDEX(Customers!$B$5:$B$204,MATCH(LARGE(Customers!$F$5:$F$204,186),Customers!$F$5:$F$204,0)))</f>
      </c>
      <c r="D198" s="10">
        <f>IF(A198="","",INDEX(Customers!$E$5:$E$204,MATCH(LARGE(Customers!$F$5:$F$204,186),Customers!$F$5:$F$204,0)))</f>
      </c>
      <c r="E198" s="20">
        <f>IF(A198="","",IF(C198=0,"",D198/C198))</f>
      </c>
      <c r="F198" s="10">
        <f>IF(A198="","",F197+D198)</f>
      </c>
      <c r="G198" s="20">
        <f>IF(A198="","",F198/E$5)</f>
      </c>
    </row>
    <row r="199" spans="1:7" x14ac:dyDescent="0.25">
      <c r="A199">
        <f>IF(187&gt;COUNT(Customers!$F$5:$F$204),"",187)</f>
      </c>
      <c r="B199">
        <f>IF(A199="","",INDEX(Customers!$A$5:$A$204,MATCH(LARGE(Customers!$F$5:$F$204,187),Customers!$F$5:$F$204,0)))</f>
      </c>
      <c r="C199" s="10">
        <f>IF(A199="","",INDEX(Customers!$B$5:$B$204,MATCH(LARGE(Customers!$F$5:$F$204,187),Customers!$F$5:$F$204,0)))</f>
      </c>
      <c r="D199" s="10">
        <f>IF(A199="","",INDEX(Customers!$E$5:$E$204,MATCH(LARGE(Customers!$F$5:$F$204,187),Customers!$F$5:$F$204,0)))</f>
      </c>
      <c r="E199" s="20">
        <f>IF(A199="","",IF(C199=0,"",D199/C199))</f>
      </c>
      <c r="F199" s="10">
        <f>IF(A199="","",F198+D199)</f>
      </c>
      <c r="G199" s="20">
        <f>IF(A199="","",F199/E$5)</f>
      </c>
    </row>
    <row r="200" spans="1:7" x14ac:dyDescent="0.25">
      <c r="A200">
        <f>IF(188&gt;COUNT(Customers!$F$5:$F$204),"",188)</f>
      </c>
      <c r="B200">
        <f>IF(A200="","",INDEX(Customers!$A$5:$A$204,MATCH(LARGE(Customers!$F$5:$F$204,188),Customers!$F$5:$F$204,0)))</f>
      </c>
      <c r="C200" s="10">
        <f>IF(A200="","",INDEX(Customers!$B$5:$B$204,MATCH(LARGE(Customers!$F$5:$F$204,188),Customers!$F$5:$F$204,0)))</f>
      </c>
      <c r="D200" s="10">
        <f>IF(A200="","",INDEX(Customers!$E$5:$E$204,MATCH(LARGE(Customers!$F$5:$F$204,188),Customers!$F$5:$F$204,0)))</f>
      </c>
      <c r="E200" s="20">
        <f>IF(A200="","",IF(C200=0,"",D200/C200))</f>
      </c>
      <c r="F200" s="10">
        <f>IF(A200="","",F199+D200)</f>
      </c>
      <c r="G200" s="20">
        <f>IF(A200="","",F200/E$5)</f>
      </c>
    </row>
    <row r="201" spans="1:7" x14ac:dyDescent="0.25">
      <c r="A201">
        <f>IF(189&gt;COUNT(Customers!$F$5:$F$204),"",189)</f>
      </c>
      <c r="B201">
        <f>IF(A201="","",INDEX(Customers!$A$5:$A$204,MATCH(LARGE(Customers!$F$5:$F$204,189),Customers!$F$5:$F$204,0)))</f>
      </c>
      <c r="C201" s="10">
        <f>IF(A201="","",INDEX(Customers!$B$5:$B$204,MATCH(LARGE(Customers!$F$5:$F$204,189),Customers!$F$5:$F$204,0)))</f>
      </c>
      <c r="D201" s="10">
        <f>IF(A201="","",INDEX(Customers!$E$5:$E$204,MATCH(LARGE(Customers!$F$5:$F$204,189),Customers!$F$5:$F$204,0)))</f>
      </c>
      <c r="E201" s="20">
        <f>IF(A201="","",IF(C201=0,"",D201/C201))</f>
      </c>
      <c r="F201" s="10">
        <f>IF(A201="","",F200+D201)</f>
      </c>
      <c r="G201" s="20">
        <f>IF(A201="","",F201/E$5)</f>
      </c>
    </row>
    <row r="202" spans="1:7" x14ac:dyDescent="0.25">
      <c r="A202">
        <f>IF(190&gt;COUNT(Customers!$F$5:$F$204),"",190)</f>
      </c>
      <c r="B202">
        <f>IF(A202="","",INDEX(Customers!$A$5:$A$204,MATCH(LARGE(Customers!$F$5:$F$204,190),Customers!$F$5:$F$204,0)))</f>
      </c>
      <c r="C202" s="10">
        <f>IF(A202="","",INDEX(Customers!$B$5:$B$204,MATCH(LARGE(Customers!$F$5:$F$204,190),Customers!$F$5:$F$204,0)))</f>
      </c>
      <c r="D202" s="10">
        <f>IF(A202="","",INDEX(Customers!$E$5:$E$204,MATCH(LARGE(Customers!$F$5:$F$204,190),Customers!$F$5:$F$204,0)))</f>
      </c>
      <c r="E202" s="20">
        <f>IF(A202="","",IF(C202=0,"",D202/C202))</f>
      </c>
      <c r="F202" s="10">
        <f>IF(A202="","",F201+D202)</f>
      </c>
      <c r="G202" s="20">
        <f>IF(A202="","",F202/E$5)</f>
      </c>
    </row>
    <row r="203" spans="1:7" x14ac:dyDescent="0.25">
      <c r="A203">
        <f>IF(191&gt;COUNT(Customers!$F$5:$F$204),"",191)</f>
      </c>
      <c r="B203">
        <f>IF(A203="","",INDEX(Customers!$A$5:$A$204,MATCH(LARGE(Customers!$F$5:$F$204,191),Customers!$F$5:$F$204,0)))</f>
      </c>
      <c r="C203" s="10">
        <f>IF(A203="","",INDEX(Customers!$B$5:$B$204,MATCH(LARGE(Customers!$F$5:$F$204,191),Customers!$F$5:$F$204,0)))</f>
      </c>
      <c r="D203" s="10">
        <f>IF(A203="","",INDEX(Customers!$E$5:$E$204,MATCH(LARGE(Customers!$F$5:$F$204,191),Customers!$F$5:$F$204,0)))</f>
      </c>
      <c r="E203" s="20">
        <f>IF(A203="","",IF(C203=0,"",D203/C203))</f>
      </c>
      <c r="F203" s="10">
        <f>IF(A203="","",F202+D203)</f>
      </c>
      <c r="G203" s="20">
        <f>IF(A203="","",F203/E$5)</f>
      </c>
    </row>
    <row r="204" spans="1:7" x14ac:dyDescent="0.25">
      <c r="A204">
        <f>IF(192&gt;COUNT(Customers!$F$5:$F$204),"",192)</f>
      </c>
      <c r="B204">
        <f>IF(A204="","",INDEX(Customers!$A$5:$A$204,MATCH(LARGE(Customers!$F$5:$F$204,192),Customers!$F$5:$F$204,0)))</f>
      </c>
      <c r="C204" s="10">
        <f>IF(A204="","",INDEX(Customers!$B$5:$B$204,MATCH(LARGE(Customers!$F$5:$F$204,192),Customers!$F$5:$F$204,0)))</f>
      </c>
      <c r="D204" s="10">
        <f>IF(A204="","",INDEX(Customers!$E$5:$E$204,MATCH(LARGE(Customers!$F$5:$F$204,192),Customers!$F$5:$F$204,0)))</f>
      </c>
      <c r="E204" s="20">
        <f>IF(A204="","",IF(C204=0,"",D204/C204))</f>
      </c>
      <c r="F204" s="10">
        <f>IF(A204="","",F203+D204)</f>
      </c>
      <c r="G204" s="20">
        <f>IF(A204="","",F204/E$5)</f>
      </c>
    </row>
    <row r="205" spans="1:7" x14ac:dyDescent="0.25">
      <c r="A205">
        <f>IF(193&gt;COUNT(Customers!$F$5:$F$204),"",193)</f>
      </c>
      <c r="B205">
        <f>IF(A205="","",INDEX(Customers!$A$5:$A$204,MATCH(LARGE(Customers!$F$5:$F$204,193),Customers!$F$5:$F$204,0)))</f>
      </c>
      <c r="C205" s="10">
        <f>IF(A205="","",INDEX(Customers!$B$5:$B$204,MATCH(LARGE(Customers!$F$5:$F$204,193),Customers!$F$5:$F$204,0)))</f>
      </c>
      <c r="D205" s="10">
        <f>IF(A205="","",INDEX(Customers!$E$5:$E$204,MATCH(LARGE(Customers!$F$5:$F$204,193),Customers!$F$5:$F$204,0)))</f>
      </c>
      <c r="E205" s="20">
        <f>IF(A205="","",IF(C205=0,"",D205/C205))</f>
      </c>
      <c r="F205" s="10">
        <f>IF(A205="","",F204+D205)</f>
      </c>
      <c r="G205" s="20">
        <f>IF(A205="","",F205/E$5)</f>
      </c>
    </row>
    <row r="206" spans="1:7" x14ac:dyDescent="0.25">
      <c r="A206">
        <f>IF(194&gt;COUNT(Customers!$F$5:$F$204),"",194)</f>
      </c>
      <c r="B206">
        <f>IF(A206="","",INDEX(Customers!$A$5:$A$204,MATCH(LARGE(Customers!$F$5:$F$204,194),Customers!$F$5:$F$204,0)))</f>
      </c>
      <c r="C206" s="10">
        <f>IF(A206="","",INDEX(Customers!$B$5:$B$204,MATCH(LARGE(Customers!$F$5:$F$204,194),Customers!$F$5:$F$204,0)))</f>
      </c>
      <c r="D206" s="10">
        <f>IF(A206="","",INDEX(Customers!$E$5:$E$204,MATCH(LARGE(Customers!$F$5:$F$204,194),Customers!$F$5:$F$204,0)))</f>
      </c>
      <c r="E206" s="20">
        <f>IF(A206="","",IF(C206=0,"",D206/C206))</f>
      </c>
      <c r="F206" s="10">
        <f>IF(A206="","",F205+D206)</f>
      </c>
      <c r="G206" s="20">
        <f>IF(A206="","",F206/E$5)</f>
      </c>
    </row>
    <row r="207" spans="1:7" x14ac:dyDescent="0.25">
      <c r="A207">
        <f>IF(195&gt;COUNT(Customers!$F$5:$F$204),"",195)</f>
      </c>
      <c r="B207">
        <f>IF(A207="","",INDEX(Customers!$A$5:$A$204,MATCH(LARGE(Customers!$F$5:$F$204,195),Customers!$F$5:$F$204,0)))</f>
      </c>
      <c r="C207" s="10">
        <f>IF(A207="","",INDEX(Customers!$B$5:$B$204,MATCH(LARGE(Customers!$F$5:$F$204,195),Customers!$F$5:$F$204,0)))</f>
      </c>
      <c r="D207" s="10">
        <f>IF(A207="","",INDEX(Customers!$E$5:$E$204,MATCH(LARGE(Customers!$F$5:$F$204,195),Customers!$F$5:$F$204,0)))</f>
      </c>
      <c r="E207" s="20">
        <f>IF(A207="","",IF(C207=0,"",D207/C207))</f>
      </c>
      <c r="F207" s="10">
        <f>IF(A207="","",F206+D207)</f>
      </c>
      <c r="G207" s="20">
        <f>IF(A207="","",F207/E$5)</f>
      </c>
    </row>
    <row r="208" spans="1:7" x14ac:dyDescent="0.25">
      <c r="A208">
        <f>IF(196&gt;COUNT(Customers!$F$5:$F$204),"",196)</f>
      </c>
      <c r="B208">
        <f>IF(A208="","",INDEX(Customers!$A$5:$A$204,MATCH(LARGE(Customers!$F$5:$F$204,196),Customers!$F$5:$F$204,0)))</f>
      </c>
      <c r="C208" s="10">
        <f>IF(A208="","",INDEX(Customers!$B$5:$B$204,MATCH(LARGE(Customers!$F$5:$F$204,196),Customers!$F$5:$F$204,0)))</f>
      </c>
      <c r="D208" s="10">
        <f>IF(A208="","",INDEX(Customers!$E$5:$E$204,MATCH(LARGE(Customers!$F$5:$F$204,196),Customers!$F$5:$F$204,0)))</f>
      </c>
      <c r="E208" s="20">
        <f>IF(A208="","",IF(C208=0,"",D208/C208))</f>
      </c>
      <c r="F208" s="10">
        <f>IF(A208="","",F207+D208)</f>
      </c>
      <c r="G208" s="20">
        <f>IF(A208="","",F208/E$5)</f>
      </c>
    </row>
    <row r="209" spans="1:7" x14ac:dyDescent="0.25">
      <c r="A209">
        <f>IF(197&gt;COUNT(Customers!$F$5:$F$204),"",197)</f>
      </c>
      <c r="B209">
        <f>IF(A209="","",INDEX(Customers!$A$5:$A$204,MATCH(LARGE(Customers!$F$5:$F$204,197),Customers!$F$5:$F$204,0)))</f>
      </c>
      <c r="C209" s="10">
        <f>IF(A209="","",INDEX(Customers!$B$5:$B$204,MATCH(LARGE(Customers!$F$5:$F$204,197),Customers!$F$5:$F$204,0)))</f>
      </c>
      <c r="D209" s="10">
        <f>IF(A209="","",INDEX(Customers!$E$5:$E$204,MATCH(LARGE(Customers!$F$5:$F$204,197),Customers!$F$5:$F$204,0)))</f>
      </c>
      <c r="E209" s="20">
        <f>IF(A209="","",IF(C209=0,"",D209/C209))</f>
      </c>
      <c r="F209" s="10">
        <f>IF(A209="","",F208+D209)</f>
      </c>
      <c r="G209" s="20">
        <f>IF(A209="","",F209/E$5)</f>
      </c>
    </row>
    <row r="210" spans="1:7" x14ac:dyDescent="0.25">
      <c r="A210">
        <f>IF(198&gt;COUNT(Customers!$F$5:$F$204),"",198)</f>
      </c>
      <c r="B210">
        <f>IF(A210="","",INDEX(Customers!$A$5:$A$204,MATCH(LARGE(Customers!$F$5:$F$204,198),Customers!$F$5:$F$204,0)))</f>
      </c>
      <c r="C210" s="10">
        <f>IF(A210="","",INDEX(Customers!$B$5:$B$204,MATCH(LARGE(Customers!$F$5:$F$204,198),Customers!$F$5:$F$204,0)))</f>
      </c>
      <c r="D210" s="10">
        <f>IF(A210="","",INDEX(Customers!$E$5:$E$204,MATCH(LARGE(Customers!$F$5:$F$204,198),Customers!$F$5:$F$204,0)))</f>
      </c>
      <c r="E210" s="20">
        <f>IF(A210="","",IF(C210=0,"",D210/C210))</f>
      </c>
      <c r="F210" s="10">
        <f>IF(A210="","",F209+D210)</f>
      </c>
      <c r="G210" s="20">
        <f>IF(A210="","",F210/E$5)</f>
      </c>
    </row>
    <row r="211" spans="1:7" x14ac:dyDescent="0.25">
      <c r="A211">
        <f>IF(199&gt;COUNT(Customers!$F$5:$F$204),"",199)</f>
      </c>
      <c r="B211">
        <f>IF(A211="","",INDEX(Customers!$A$5:$A$204,MATCH(LARGE(Customers!$F$5:$F$204,199),Customers!$F$5:$F$204,0)))</f>
      </c>
      <c r="C211" s="10">
        <f>IF(A211="","",INDEX(Customers!$B$5:$B$204,MATCH(LARGE(Customers!$F$5:$F$204,199),Customers!$F$5:$F$204,0)))</f>
      </c>
      <c r="D211" s="10">
        <f>IF(A211="","",INDEX(Customers!$E$5:$E$204,MATCH(LARGE(Customers!$F$5:$F$204,199),Customers!$F$5:$F$204,0)))</f>
      </c>
      <c r="E211" s="20">
        <f>IF(A211="","",IF(C211=0,"",D211/C211))</f>
      </c>
      <c r="F211" s="10">
        <f>IF(A211="","",F210+D211)</f>
      </c>
      <c r="G211" s="20">
        <f>IF(A211="","",F211/E$5)</f>
      </c>
    </row>
    <row r="212" spans="1:7" x14ac:dyDescent="0.25">
      <c r="A212">
        <f>IF(200&gt;COUNT(Customers!$F$5:$F$204),"",200)</f>
      </c>
      <c r="B212">
        <f>IF(A212="","",INDEX(Customers!$A$5:$A$204,MATCH(LARGE(Customers!$F$5:$F$204,200),Customers!$F$5:$F$204,0)))</f>
      </c>
      <c r="C212" s="10">
        <f>IF(A212="","",INDEX(Customers!$B$5:$B$204,MATCH(LARGE(Customers!$F$5:$F$204,200),Customers!$F$5:$F$204,0)))</f>
      </c>
      <c r="D212" s="10">
        <f>IF(A212="","",INDEX(Customers!$E$5:$E$204,MATCH(LARGE(Customers!$F$5:$F$204,200),Customers!$F$5:$F$204,0)))</f>
      </c>
      <c r="E212" s="20">
        <f>IF(A212="","",IF(C212=0,"",D212/C212))</f>
      </c>
      <c r="F212" s="10">
        <f>IF(A212="","",F211+D212)</f>
      </c>
      <c r="G212" s="20">
        <f>IF(A212="","",F212/E$5)</f>
      </c>
    </row>
  </sheetData>
  <mergeCells count="7">
    <mergeCell ref="A1:G1"/>
    <mergeCell ref="A4:D4"/>
    <mergeCell ref="A5:D5"/>
    <mergeCell ref="A6:D6"/>
    <mergeCell ref="A7:D7"/>
    <mergeCell ref="A8:D8"/>
    <mergeCell ref="A9:D9"/>
  </mergeCells>
  <conditionalFormatting sqref="A13:G212">
    <cfRule type="expression" dxfId="0" priority="2">
      <formula>AND($A13&lt;&gt;"",$D13&lt;0)</formula>
    </cfRule>
  </conditionalFormatting>
  <conditionalFormatting sqref="G13:G212">
    <cfRule type="dataBar" priority="1">
      <dataBar>
        <cfvo type="num" val="0"/>
        <cfvo type="max"/>
        <color rgb="FF185FA5"/>
      </dataBar>
      <extLst>
        <ext xmlns:x14="http://schemas.microsoft.com/office/spreadsheetml/2009/9/main" uri="{B025F937-C7B1-47D3-B67F-A62EFF666E3E}">
          <x14:id>{4986CC19-D32D-4F8A-92BC-72976BCF3C35}</x14:id>
        </ext>
      </extLst>
    </cfRule>
  </conditionalFormatting>
  <pageMargins left="0.7" right="0.7" top="0.75" bottom="0.75" header="0.3" footer="0.3"/>
  <pageSetup orientation="portrait" horizontalDpi="4294967295" verticalDpi="4294967295" scale="100" fitToWidth="1" fitToHeight="1"/>
  <extLst>
    <ext xmlns:x14="http://schemas.microsoft.com/office/spreadsheetml/2009/9/main" uri="{78C0D931-6437-407d-A8EE-F0AAD7539E65}">
      <x14:conditionalFormattings>
        <x14:conditionalFormatting xmlns:xm="http://schemas.microsoft.com/office/excel/2006/main">
          <x14:cfRule type="dataBar" id="{4986CC19-D32D-4F8A-92BC-72976BCF3C35}">
            <x14:dataBar minLength="0" maxLength="100" gradient="0">
              <x14:cfvo type="num">
                <xm:f>0</xm:f>
              </x14:cfvo>
              <x14:cfvo type="max"/>
            </x14:dataBar>
          </x14:cfRule>
          <xm:sqref>G13:G212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Start Here</vt:lpstr>
      <vt:lpstr>Customers</vt:lpstr>
      <vt:lpstr>Whale Curve</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Helm Advisory</dc:creator>
  <dc:title/>
  <dc:subject/>
  <dc:description/>
  <cp:keywords/>
  <cp:category/>
  <cp:lastModifiedBy>Unknown</cp:lastModifiedBy>
  <dcterms:created xsi:type="dcterms:W3CDTF">2026-07-10T10:26:26Z</dcterms:created>
  <dcterms:modified xsi:type="dcterms:W3CDTF">2026-07-10T10:26:26Z</dcterms:modified>
</cp:coreProperties>
</file>